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440" windowHeight="9285" activeTab="1"/>
  </bookViews>
  <sheets>
    <sheet name="Readme" sheetId="1" r:id="rId1"/>
    <sheet name="Calculator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<sst xmlns="http://schemas.openxmlformats.org/spreadsheetml/2006/main" count="71" uniqueCount="64">
  <si>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d</t>
  </si>
  <si>
    <t>W</t>
  </si>
  <si>
    <t>H</t>
  </si>
  <si>
    <t>ER</t>
  </si>
  <si>
    <t>m</t>
  </si>
  <si>
    <t>F</t>
  </si>
  <si>
    <t>Alumina</t>
  </si>
  <si>
    <t>Dielectric material list (includes Microwave Engineering Passive Circuits by Peter Rizzi and other references)</t>
  </si>
  <si>
    <t>Er</t>
  </si>
  <si>
    <t>TanD</t>
  </si>
  <si>
    <t>Notes</t>
  </si>
  <si>
    <t>aaa User defined 1</t>
  </si>
  <si>
    <t>aab User defined 2</t>
  </si>
  <si>
    <t>aac User defined 3</t>
  </si>
  <si>
    <t>Air</t>
  </si>
  <si>
    <t>Foamed PTFE</t>
  </si>
  <si>
    <t>Fuzed quartz</t>
  </si>
  <si>
    <t>Wikipedia</t>
  </si>
  <si>
    <t>Fuzed silica</t>
  </si>
  <si>
    <t>Glass</t>
  </si>
  <si>
    <t>There are many different glasses</t>
  </si>
  <si>
    <t>Mica</t>
  </si>
  <si>
    <t>Polystyrene</t>
  </si>
  <si>
    <t>PTFE (Teflon)</t>
  </si>
  <si>
    <t>Quartz (Fuzed)</t>
  </si>
  <si>
    <t>Rexolite - 1422</t>
  </si>
  <si>
    <t>Silicon (HRS)</t>
  </si>
  <si>
    <t>Silicon dioxide</t>
  </si>
  <si>
    <t>Styrofoam</t>
  </si>
  <si>
    <t>Teflon (PTFE)</t>
  </si>
  <si>
    <t>Thickness units</t>
  </si>
  <si>
    <t>L and W units</t>
  </si>
  <si>
    <t>microinches</t>
  </si>
  <si>
    <t>mils</t>
  </si>
  <si>
    <t>Angstroms</t>
  </si>
  <si>
    <t>cm</t>
  </si>
  <si>
    <t>mm</t>
  </si>
  <si>
    <t>Multiplier</t>
  </si>
  <si>
    <t>microns</t>
  </si>
  <si>
    <t>inches</t>
  </si>
  <si>
    <t>multiplier</t>
  </si>
  <si>
    <t>Silicon nitride</t>
  </si>
  <si>
    <t>nm</t>
  </si>
  <si>
    <t>E0</t>
  </si>
  <si>
    <t>thickness</t>
  </si>
  <si>
    <t>L</t>
  </si>
  <si>
    <t>(OK to write over this value)</t>
  </si>
  <si>
    <t>Capacitance</t>
  </si>
  <si>
    <t>uF</t>
  </si>
  <si>
    <t>nF</t>
  </si>
  <si>
    <t>fF</t>
  </si>
  <si>
    <t>Capacitance per area</t>
  </si>
  <si>
    <t>pF</t>
  </si>
  <si>
    <t>pF/mm^2</t>
  </si>
  <si>
    <t>Enter data in blue boxes only</t>
  </si>
  <si>
    <t>These data are in meters</t>
  </si>
  <si>
    <t>Leave this stuff alone…..</t>
  </si>
  <si>
    <t>List must remain in alphabetical order!!!!</t>
  </si>
  <si>
    <t>Material (pull down)</t>
  </si>
  <si>
    <t>Pull down menu</t>
  </si>
  <si>
    <t>Reactance</t>
  </si>
  <si>
    <t>ohms</t>
  </si>
  <si>
    <t>GHz</t>
  </si>
  <si>
    <t>Frequency (for reactance calc)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</si>
</sst>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8" borderId="0" xfId="0" applyFill="1" applyAlignment="1">
      <alignment/>
    </xf>
    <xf numFmtId="1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2" fillId="8" borderId="0" xfId="0" applyFont="1" applyFill="1" applyAlignment="1">
      <alignment/>
    </xf>
    <xf numFmtId="0" fontId="0" fillId="34" borderId="0" xfId="0" applyNumberFormat="1" applyFill="1" applyAlignment="1">
      <alignment/>
    </xf>
    <xf numFmtId="0" fontId="0" fillId="8" borderId="0" xfId="0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161925</xdr:rowOff>
    </xdr:from>
    <xdr:to>
      <xdr:col>9</xdr:col>
      <xdr:colOff>219075</xdr:colOff>
      <xdr:row>15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28775" y="733425"/>
          <a:ext cx="4076700" cy="2152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Parallel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plate capacitor calculator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 September 2012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Microwaves101.com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pull down menues to set up material and units.  You can overwrite ER if you like.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thickness, L and W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F31"/>
  <sheetViews>
    <sheetView tabSelected="1" zoomScalePageLayoutView="0" workbookViewId="0" topLeftCell="A4">
      <selection activeCell="K25" sqref="K25"/>
    </sheetView>
  </sheetViews>
  <sheetFormatPr defaultColWidth="9.140625" defaultRowHeight="15"/>
  <cols>
    <col min="3" max="3" width="29.140625" style="0" customWidth="1"/>
    <col min="4" max="4" width="14.57421875" style="0" customWidth="1"/>
    <col min="5" max="5" width="10.00390625" style="0" bestFit="1" customWidth="1"/>
    <col min="8" max="8" width="11.00390625" style="0" bestFit="1" customWidth="1"/>
    <col min="15" max="15" width="24.57421875" style="0" customWidth="1"/>
  </cols>
  <sheetData>
    <row r="2" spans="4:6" ht="15">
      <c r="D2" s="8" t="s">
        <v>54</v>
      </c>
      <c r="E2" s="8"/>
      <c r="F2" s="8"/>
    </row>
    <row r="5" spans="4:6" ht="15">
      <c r="D5" t="s">
        <v>59</v>
      </c>
      <c r="F5" t="s">
        <v>3</v>
      </c>
    </row>
    <row r="6" spans="3:16" ht="15">
      <c r="C6" t="s">
        <v>58</v>
      </c>
      <c r="D6" s="8" t="s">
        <v>25</v>
      </c>
      <c r="F6" s="10">
        <f>LOOKUP(D6,Calculator!P12:P30,Calculator!Q12:Q30)</f>
        <v>2.54</v>
      </c>
      <c r="G6" t="s">
        <v>46</v>
      </c>
      <c r="P6" t="s">
        <v>57</v>
      </c>
    </row>
    <row r="8" ht="15">
      <c r="D8" t="s">
        <v>59</v>
      </c>
    </row>
    <row r="9" spans="3:16" ht="15">
      <c r="C9" t="s">
        <v>30</v>
      </c>
      <c r="D9" s="13" t="s">
        <v>36</v>
      </c>
      <c r="P9" t="s">
        <v>7</v>
      </c>
    </row>
    <row r="10" spans="3:28" ht="15">
      <c r="C10" t="s">
        <v>31</v>
      </c>
      <c r="D10" s="13" t="s">
        <v>36</v>
      </c>
      <c r="Q10" t="s">
        <v>8</v>
      </c>
      <c r="R10" t="s">
        <v>9</v>
      </c>
      <c r="S10" t="s">
        <v>10</v>
      </c>
      <c r="AB10" t="s">
        <v>56</v>
      </c>
    </row>
    <row r="11" ht="15">
      <c r="D11" s="14"/>
    </row>
    <row r="12" spans="3:18" ht="15">
      <c r="C12" t="s">
        <v>63</v>
      </c>
      <c r="D12" s="11">
        <v>30</v>
      </c>
      <c r="E12" t="s">
        <v>62</v>
      </c>
      <c r="P12" s="2" t="s">
        <v>11</v>
      </c>
      <c r="Q12" s="3">
        <v>1</v>
      </c>
      <c r="R12" s="4">
        <v>0</v>
      </c>
    </row>
    <row r="13" spans="16:28" ht="15">
      <c r="P13" s="2" t="s">
        <v>12</v>
      </c>
      <c r="Q13" s="3">
        <v>1</v>
      </c>
      <c r="R13" s="4">
        <v>0</v>
      </c>
      <c r="AB13" t="s">
        <v>43</v>
      </c>
    </row>
    <row r="14" spans="3:28" ht="15">
      <c r="C14" t="s">
        <v>44</v>
      </c>
      <c r="D14" t="s">
        <v>45</v>
      </c>
      <c r="E14" t="s">
        <v>1</v>
      </c>
      <c r="P14" s="2" t="s">
        <v>13</v>
      </c>
      <c r="Q14" s="3">
        <v>1</v>
      </c>
      <c r="R14" s="4">
        <v>0</v>
      </c>
      <c r="AB14" s="1">
        <v>8.85E-12</v>
      </c>
    </row>
    <row r="15" spans="3:18" ht="15">
      <c r="C15" t="str">
        <f>D9</f>
        <v>mm</v>
      </c>
      <c r="D15" t="str">
        <f>D10</f>
        <v>mm</v>
      </c>
      <c r="E15" t="str">
        <f>D10</f>
        <v>mm</v>
      </c>
      <c r="P15" t="s">
        <v>14</v>
      </c>
      <c r="Q15">
        <v>1</v>
      </c>
      <c r="R15">
        <v>0</v>
      </c>
    </row>
    <row r="16" spans="3:29" ht="15">
      <c r="C16" s="8">
        <v>0.1</v>
      </c>
      <c r="D16" s="8">
        <v>0.1</v>
      </c>
      <c r="E16" s="8">
        <v>0.1</v>
      </c>
      <c r="P16" t="s">
        <v>6</v>
      </c>
      <c r="Q16">
        <v>9.6</v>
      </c>
      <c r="R16">
        <v>0.0001</v>
      </c>
      <c r="AC16" t="s">
        <v>37</v>
      </c>
    </row>
    <row r="17" spans="16:29" ht="15">
      <c r="P17" s="5" t="s">
        <v>15</v>
      </c>
      <c r="Q17" s="6">
        <v>1.43</v>
      </c>
      <c r="R17" s="7">
        <v>0.00015</v>
      </c>
      <c r="AB17" t="s">
        <v>34</v>
      </c>
      <c r="AC17" s="1">
        <v>1E-10</v>
      </c>
    </row>
    <row r="18" spans="16:29" ht="15">
      <c r="P18" s="5" t="s">
        <v>16</v>
      </c>
      <c r="Q18" s="6">
        <v>3.75</v>
      </c>
      <c r="R18" s="7">
        <v>0.0004</v>
      </c>
      <c r="S18" t="s">
        <v>17</v>
      </c>
      <c r="AB18" t="s">
        <v>35</v>
      </c>
      <c r="AC18">
        <f>0.01</f>
        <v>0.01</v>
      </c>
    </row>
    <row r="19" spans="3:29" ht="15">
      <c r="C19" t="s">
        <v>47</v>
      </c>
      <c r="I19" t="s">
        <v>60</v>
      </c>
      <c r="P19" s="5" t="s">
        <v>18</v>
      </c>
      <c r="Q19" s="6">
        <v>3.3</v>
      </c>
      <c r="R19" s="7">
        <v>0.003</v>
      </c>
      <c r="AB19" t="s">
        <v>39</v>
      </c>
      <c r="AC19">
        <f>0.01*2.54</f>
        <v>0.025400000000000002</v>
      </c>
    </row>
    <row r="20" spans="3:29" ht="15">
      <c r="C20" t="s">
        <v>5</v>
      </c>
      <c r="D20" t="s">
        <v>48</v>
      </c>
      <c r="E20" t="s">
        <v>49</v>
      </c>
      <c r="F20" t="s">
        <v>52</v>
      </c>
      <c r="G20" t="s">
        <v>50</v>
      </c>
      <c r="I20" t="s">
        <v>61</v>
      </c>
      <c r="P20" t="s">
        <v>19</v>
      </c>
      <c r="Q20">
        <v>5</v>
      </c>
      <c r="R20">
        <v>0.001</v>
      </c>
      <c r="S20" t="s">
        <v>20</v>
      </c>
      <c r="AB20" t="s">
        <v>32</v>
      </c>
      <c r="AC20" s="1">
        <f>0.001*25.4*0.000001</f>
        <v>2.54E-08</v>
      </c>
    </row>
    <row r="21" spans="3:29" ht="15">
      <c r="C21" s="9">
        <f>Calculator!AB14*F6*Calculator!AC31*Calculator!AD31/Calculator!AB31</f>
        <v>2.2479E-15</v>
      </c>
      <c r="D21" s="9">
        <f>C21*1000000</f>
        <v>2.2479E-09</v>
      </c>
      <c r="E21" s="9">
        <f>C21*1000000000</f>
        <v>2.2479E-06</v>
      </c>
      <c r="F21" s="9">
        <f>C21*1000000000000</f>
        <v>0.0022479</v>
      </c>
      <c r="G21" s="9">
        <f>C21*1000000000000000</f>
        <v>2.2479</v>
      </c>
      <c r="I21" s="12">
        <f>1/(2*PI()*D12*E21)</f>
        <v>2360.0537255793606</v>
      </c>
      <c r="P21" t="s">
        <v>21</v>
      </c>
      <c r="Q21">
        <v>5.4</v>
      </c>
      <c r="R21">
        <v>0.0003</v>
      </c>
      <c r="AB21" t="s">
        <v>38</v>
      </c>
      <c r="AC21" s="1">
        <v>1E-06</v>
      </c>
    </row>
    <row r="22" spans="16:29" ht="15">
      <c r="P22" t="s">
        <v>22</v>
      </c>
      <c r="Q22">
        <v>2.55</v>
      </c>
      <c r="R22">
        <v>0.0003</v>
      </c>
      <c r="AB22" t="s">
        <v>33</v>
      </c>
      <c r="AC22" s="1">
        <f>0.001*25.4*0.001</f>
        <v>2.54E-05</v>
      </c>
    </row>
    <row r="23" spans="3:29" ht="15">
      <c r="C23" t="s">
        <v>51</v>
      </c>
      <c r="P23" t="s">
        <v>23</v>
      </c>
      <c r="Q23">
        <v>2.1</v>
      </c>
      <c r="R23">
        <v>0.0003</v>
      </c>
      <c r="AB23" t="s">
        <v>36</v>
      </c>
      <c r="AC23">
        <v>0.001</v>
      </c>
    </row>
    <row r="24" spans="3:29" ht="15">
      <c r="C24" t="s">
        <v>53</v>
      </c>
      <c r="P24" t="s">
        <v>24</v>
      </c>
      <c r="Q24">
        <v>3.8</v>
      </c>
      <c r="R24">
        <v>6E-05</v>
      </c>
      <c r="AB24" t="s">
        <v>42</v>
      </c>
      <c r="AC24" s="1">
        <v>1E-09</v>
      </c>
    </row>
    <row r="25" spans="3:18" ht="15">
      <c r="C25" s="9">
        <f>1000000*F6*Calculator!AB14/Calculator!AB31</f>
        <v>0.22479000000000002</v>
      </c>
      <c r="P25" t="s">
        <v>25</v>
      </c>
      <c r="Q25">
        <v>2.54</v>
      </c>
      <c r="R25">
        <v>0.0005</v>
      </c>
    </row>
    <row r="26" spans="16:18" ht="15">
      <c r="P26" t="s">
        <v>26</v>
      </c>
      <c r="Q26">
        <v>11.7</v>
      </c>
      <c r="R26">
        <v>0.00015</v>
      </c>
    </row>
    <row r="27" spans="16:18" ht="15">
      <c r="P27" t="s">
        <v>27</v>
      </c>
      <c r="Q27">
        <v>4.5</v>
      </c>
      <c r="R27">
        <v>0.005</v>
      </c>
    </row>
    <row r="28" spans="16:32" ht="15">
      <c r="P28" t="s">
        <v>41</v>
      </c>
      <c r="Q28">
        <v>7</v>
      </c>
      <c r="AB28" t="s">
        <v>55</v>
      </c>
      <c r="AF28" t="s">
        <v>40</v>
      </c>
    </row>
    <row r="29" spans="16:32" ht="15">
      <c r="P29" t="s">
        <v>28</v>
      </c>
      <c r="Q29">
        <v>1.03</v>
      </c>
      <c r="R29">
        <v>0.0001</v>
      </c>
      <c r="AB29" t="s">
        <v>0</v>
      </c>
      <c r="AC29" t="s">
        <v>1</v>
      </c>
      <c r="AD29" t="s">
        <v>2</v>
      </c>
      <c r="AF29">
        <f>LOOKUP(Calculator!D9,Calculator!AB$17:AB$24,Calculator!AC$17:AC$24)</f>
        <v>0.001</v>
      </c>
    </row>
    <row r="30" spans="16:32" ht="15">
      <c r="P30" t="s">
        <v>29</v>
      </c>
      <c r="Q30">
        <v>2.02</v>
      </c>
      <c r="R30">
        <v>0.00015</v>
      </c>
      <c r="AB30" t="s">
        <v>4</v>
      </c>
      <c r="AC30" t="s">
        <v>4</v>
      </c>
      <c r="AD30" t="s">
        <v>4</v>
      </c>
      <c r="AF30">
        <f>LOOKUP(Calculator!D10,Calculator!AB$17:AB$24,Calculator!AC$17:AC$24)</f>
        <v>0.001</v>
      </c>
    </row>
    <row r="31" spans="28:30" ht="15">
      <c r="AB31">
        <f>Calculator!C16*Calculator!AF29</f>
        <v>0.0001</v>
      </c>
      <c r="AC31">
        <f>Calculator!D16*Calculator!AF30</f>
        <v>0.0001</v>
      </c>
      <c r="AD31">
        <f>Calculator!E16*Calculator!AF30</f>
        <v>0.0001</v>
      </c>
    </row>
  </sheetData>
  <sheetProtection/>
  <dataValidations count="2">
    <dataValidation type="list" allowBlank="1" showInputMessage="1" showErrorMessage="1" sqref="D6">
      <formula1>$P$12:$P$30</formula1>
    </dataValidation>
    <dataValidation type="list" allowBlank="1" showInputMessage="1" showErrorMessage="1" sqref="D9:D10">
      <formula1>$AB$17:$AB$24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dcterms:created xsi:type="dcterms:W3CDTF">2012-09-13T22:57:55Z</dcterms:created>
  <dcterms:modified xsi:type="dcterms:W3CDTF">2012-10-11T03:11:01Z</dcterms:modified>
  <cp:category/>
  <cp:version/>
  <cp:contentType/>
  <cp:contentStatus/>
</cp:coreProperties>
</file>