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renda\Desktop\MW101\"/>
    </mc:Choice>
  </mc:AlternateContent>
  <xr:revisionPtr revIDLastSave="0" documentId="8_{3AF27862-F0DA-45FE-9028-5F0DE496DBCC}" xr6:coauthVersionLast="41" xr6:coauthVersionMax="41" xr10:uidLastSave="{00000000-0000-0000-0000-000000000000}"/>
  <bookViews>
    <workbookView xWindow="1812" yWindow="276" windowWidth="21216" windowHeight="12024" activeTab="2" xr2:uid="{A9A0945D-1976-4F6C-BEB0-AA912DFEABED}"/>
  </bookViews>
  <sheets>
    <sheet name="Readme" sheetId="2" r:id="rId1"/>
    <sheet name="Graph1" sheetId="6" r:id="rId2"/>
    <sheet name="H-tree"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1" l="1"/>
  <c r="K20" i="1" s="1"/>
  <c r="K21" i="1" s="1"/>
  <c r="K22" i="1" s="1"/>
  <c r="K23" i="1" s="1"/>
  <c r="K24" i="1" s="1"/>
  <c r="K25" i="1" s="1"/>
  <c r="K26" i="1" s="1"/>
  <c r="K27" i="1" s="1"/>
  <c r="K28" i="1" s="1"/>
  <c r="K29" i="1" s="1"/>
  <c r="K30" i="1" s="1"/>
  <c r="K31" i="1" s="1"/>
  <c r="K18" i="1"/>
  <c r="K17" i="1"/>
  <c r="J18" i="1"/>
  <c r="J19" i="1"/>
  <c r="J20" i="1"/>
  <c r="J21" i="1"/>
  <c r="J22" i="1"/>
  <c r="J23" i="1"/>
  <c r="J24" i="1"/>
  <c r="J25" i="1"/>
  <c r="J26" i="1"/>
  <c r="J27" i="1"/>
  <c r="J28" i="1"/>
  <c r="J29" i="1"/>
  <c r="J30" i="1"/>
  <c r="J31" i="1"/>
  <c r="J17" i="1"/>
  <c r="E30" i="1" l="1"/>
  <c r="E28" i="1"/>
  <c r="H18" i="1" l="1"/>
  <c r="H19" i="1"/>
  <c r="H20" i="1"/>
  <c r="H21" i="1"/>
  <c r="H22" i="1"/>
  <c r="H23" i="1"/>
  <c r="H24" i="1"/>
  <c r="H25" i="1"/>
  <c r="H26" i="1"/>
  <c r="H27" i="1"/>
  <c r="H28" i="1"/>
  <c r="H29" i="1"/>
  <c r="H30" i="1"/>
  <c r="H31" i="1"/>
  <c r="H17" i="1"/>
  <c r="E12" i="1"/>
  <c r="E10" i="1"/>
  <c r="E31" i="1" l="1"/>
  <c r="F31" i="1" s="1"/>
  <c r="F30" i="1"/>
  <c r="B29" i="1"/>
  <c r="C29" i="1" s="1"/>
  <c r="E29" i="1"/>
  <c r="F29" i="1" s="1"/>
  <c r="D29" i="1" l="1"/>
  <c r="B30" i="1"/>
  <c r="K12" i="1"/>
  <c r="R24" i="1" l="1"/>
  <c r="T24" i="1" s="1"/>
  <c r="R23" i="1"/>
  <c r="T23" i="1" s="1"/>
  <c r="R22" i="1"/>
  <c r="T22" i="1" s="1"/>
  <c r="R21" i="1"/>
  <c r="T21" i="1" s="1"/>
  <c r="R17" i="1"/>
  <c r="T17" i="1" s="1"/>
  <c r="R26" i="1"/>
  <c r="T26" i="1" s="1"/>
  <c r="R20" i="1"/>
  <c r="T20" i="1" s="1"/>
  <c r="R19" i="1"/>
  <c r="T19" i="1" s="1"/>
  <c r="R18" i="1"/>
  <c r="T18" i="1" s="1"/>
  <c r="R31" i="1"/>
  <c r="T31" i="1" s="1"/>
  <c r="R30" i="1"/>
  <c r="T30" i="1" s="1"/>
  <c r="R29" i="1"/>
  <c r="T29" i="1" s="1"/>
  <c r="R28" i="1"/>
  <c r="T28" i="1" s="1"/>
  <c r="R27" i="1"/>
  <c r="T27" i="1" s="1"/>
  <c r="R25" i="1"/>
  <c r="T25" i="1" s="1"/>
  <c r="B31" i="1"/>
  <c r="C31" i="1" s="1"/>
  <c r="C30" i="1"/>
  <c r="F17" i="1"/>
  <c r="F28" i="1"/>
  <c r="K11" i="1"/>
  <c r="E27" i="1"/>
  <c r="F27" i="1" s="1"/>
  <c r="E25" i="1"/>
  <c r="F25" i="1" s="1"/>
  <c r="E23" i="1"/>
  <c r="F23" i="1" s="1"/>
  <c r="E21" i="1"/>
  <c r="F21" i="1" s="1"/>
  <c r="E19" i="1"/>
  <c r="F19" i="1" s="1"/>
  <c r="E18" i="1"/>
  <c r="F18" i="1" s="1"/>
  <c r="E26" i="1"/>
  <c r="F26" i="1" s="1"/>
  <c r="E24" i="1"/>
  <c r="F24" i="1" s="1"/>
  <c r="E22" i="1"/>
  <c r="F22" i="1" s="1"/>
  <c r="E20" i="1"/>
  <c r="F20" i="1" s="1"/>
  <c r="C17" i="1"/>
  <c r="D17" i="1" s="1"/>
  <c r="B18" i="1"/>
  <c r="C18" i="1" s="1"/>
  <c r="D18" i="1" s="1"/>
  <c r="N29" i="1" l="1"/>
  <c r="O29" i="1" s="1"/>
  <c r="Q23" i="1"/>
  <c r="S23" i="1" s="1"/>
  <c r="Q30" i="1"/>
  <c r="S30" i="1" s="1"/>
  <c r="Q18" i="1"/>
  <c r="S18" i="1" s="1"/>
  <c r="Q21" i="1"/>
  <c r="S21" i="1" s="1"/>
  <c r="Q28" i="1"/>
  <c r="S28" i="1" s="1"/>
  <c r="Q31" i="1"/>
  <c r="S31" i="1" s="1"/>
  <c r="Q19" i="1"/>
  <c r="S19" i="1" s="1"/>
  <c r="Q26" i="1"/>
  <c r="S26" i="1" s="1"/>
  <c r="Q17" i="1"/>
  <c r="S17" i="1" s="1"/>
  <c r="Q22" i="1"/>
  <c r="S22" i="1" s="1"/>
  <c r="Q25" i="1"/>
  <c r="S25" i="1" s="1"/>
  <c r="Q24" i="1"/>
  <c r="S24" i="1" s="1"/>
  <c r="Q29" i="1"/>
  <c r="S29" i="1" s="1"/>
  <c r="Q20" i="1"/>
  <c r="S20" i="1" s="1"/>
  <c r="Q27" i="1"/>
  <c r="S27" i="1" s="1"/>
  <c r="N30" i="1"/>
  <c r="O30" i="1" s="1"/>
  <c r="D30" i="1"/>
  <c r="N31" i="1"/>
  <c r="O31" i="1" s="1"/>
  <c r="D31" i="1"/>
  <c r="N18" i="1"/>
  <c r="O18" i="1" s="1"/>
  <c r="N17" i="1"/>
  <c r="O17" i="1" s="1"/>
  <c r="I18" i="1"/>
  <c r="I19" i="1" s="1"/>
  <c r="I20" i="1" s="1"/>
  <c r="I21" i="1" s="1"/>
  <c r="I22" i="1" s="1"/>
  <c r="I23" i="1" s="1"/>
  <c r="I24" i="1" s="1"/>
  <c r="I25" i="1" s="1"/>
  <c r="I26" i="1" s="1"/>
  <c r="I27" i="1" s="1"/>
  <c r="I28" i="1" s="1"/>
  <c r="I29" i="1" s="1"/>
  <c r="I30" i="1" s="1"/>
  <c r="I31" i="1" s="1"/>
  <c r="B19" i="1"/>
  <c r="L17" i="1" l="1"/>
  <c r="P18" i="1"/>
  <c r="P17" i="1"/>
  <c r="M17" i="1"/>
  <c r="C19" i="1"/>
  <c r="N19" i="1" s="1"/>
  <c r="O19" i="1" s="1"/>
  <c r="B20" i="1"/>
  <c r="M18" i="1" l="1"/>
  <c r="P19" i="1"/>
  <c r="L18" i="1"/>
  <c r="D19" i="1"/>
  <c r="C20" i="1"/>
  <c r="N20" i="1" s="1"/>
  <c r="O20" i="1" s="1"/>
  <c r="B21" i="1"/>
  <c r="P20" i="1" l="1"/>
  <c r="D20" i="1"/>
  <c r="L19" i="1"/>
  <c r="M19" i="1"/>
  <c r="B22" i="1"/>
  <c r="C21" i="1"/>
  <c r="N21" i="1" s="1"/>
  <c r="O21" i="1" s="1"/>
  <c r="D21" i="1" l="1"/>
  <c r="L20" i="1"/>
  <c r="M20" i="1"/>
  <c r="B23" i="1"/>
  <c r="C22" i="1"/>
  <c r="N22" i="1" s="1"/>
  <c r="O22" i="1" s="1"/>
  <c r="P21" i="1" l="1"/>
  <c r="P22" i="1"/>
  <c r="D22" i="1"/>
  <c r="L21" i="1"/>
  <c r="M21" i="1"/>
  <c r="B24" i="1"/>
  <c r="C23" i="1"/>
  <c r="N23" i="1" s="1"/>
  <c r="O23" i="1" s="1"/>
  <c r="P23" i="1" l="1"/>
  <c r="D23" i="1"/>
  <c r="L22" i="1"/>
  <c r="M22" i="1"/>
  <c r="B25" i="1"/>
  <c r="C24" i="1"/>
  <c r="N24" i="1" s="1"/>
  <c r="O24" i="1" s="1"/>
  <c r="P24" i="1" l="1"/>
  <c r="D24" i="1"/>
  <c r="L23" i="1"/>
  <c r="M23" i="1"/>
  <c r="B26" i="1"/>
  <c r="C25" i="1"/>
  <c r="N25" i="1" s="1"/>
  <c r="O25" i="1" s="1"/>
  <c r="P25" i="1" l="1"/>
  <c r="C26" i="1"/>
  <c r="B27" i="1"/>
  <c r="M24" i="1"/>
  <c r="L24" i="1"/>
  <c r="D25" i="1"/>
  <c r="D26" i="1" l="1"/>
  <c r="N26" i="1"/>
  <c r="O26" i="1" s="1"/>
  <c r="P26" i="1" s="1"/>
  <c r="C27" i="1"/>
  <c r="N27" i="1" s="1"/>
  <c r="O27" i="1" s="1"/>
  <c r="B28" i="1"/>
  <c r="C28" i="1" s="1"/>
  <c r="N28" i="1" s="1"/>
  <c r="D27" i="1"/>
  <c r="L26" i="1"/>
  <c r="M26" i="1"/>
  <c r="L25" i="1"/>
  <c r="M25" i="1"/>
  <c r="O28" i="1" l="1"/>
  <c r="P27" i="1"/>
  <c r="D28" i="1"/>
  <c r="L27" i="1"/>
  <c r="M27" i="1"/>
  <c r="P29" i="1" l="1"/>
  <c r="L29" i="1"/>
  <c r="M29" i="1"/>
  <c r="P28" i="1"/>
  <c r="L28" i="1"/>
  <c r="M28" i="1"/>
  <c r="P30" i="1" l="1"/>
  <c r="L30" i="1"/>
  <c r="M30" i="1"/>
  <c r="P31" i="1" l="1"/>
  <c r="M31" i="1"/>
  <c r="L31" i="1"/>
</calcChain>
</file>

<file path=xl/sharedStrings.xml><?xml version="1.0" encoding="utf-8"?>
<sst xmlns="http://schemas.openxmlformats.org/spreadsheetml/2006/main" count="97" uniqueCount="48">
  <si>
    <t>Split</t>
  </si>
  <si>
    <t>RX gain</t>
  </si>
  <si>
    <t>TX loss</t>
  </si>
  <si>
    <t>Antenna area</t>
  </si>
  <si>
    <t>dB</t>
  </si>
  <si>
    <t>Element spacing X</t>
  </si>
  <si>
    <t>Element spacing Y</t>
  </si>
  <si>
    <t>Combiner length</t>
  </si>
  <si>
    <t>Cumulative length</t>
  </si>
  <si>
    <t>Wavelengths</t>
  </si>
  <si>
    <t>Combiner attenuation</t>
  </si>
  <si>
    <t>Cumulative attenuation</t>
  </si>
  <si>
    <t>Number elements</t>
  </si>
  <si>
    <t>Antenna directivity</t>
  </si>
  <si>
    <t>Antenna gain</t>
  </si>
  <si>
    <t>Maximum frequency</t>
  </si>
  <si>
    <t>GHz</t>
  </si>
  <si>
    <t>Wavelength (in air)</t>
  </si>
  <si>
    <t>mm</t>
  </si>
  <si>
    <t>dB/mm</t>
  </si>
  <si>
    <t>Attenuation constant</t>
  </si>
  <si>
    <t>Media</t>
  </si>
  <si>
    <t>mm^2</t>
  </si>
  <si>
    <t>wavelengths at Fmax</t>
  </si>
  <si>
    <t>Frequency for gain calc</t>
  </si>
  <si>
    <t>dBi</t>
  </si>
  <si>
    <t>Cumulative combiner gain</t>
  </si>
  <si>
    <t>Media 1</t>
  </si>
  <si>
    <t>Media 2</t>
  </si>
  <si>
    <t>Media 3</t>
  </si>
  <si>
    <t>Attenuation at chosen frequency</t>
  </si>
  <si>
    <t>Description</t>
  </si>
  <si>
    <t>Media 4</t>
  </si>
  <si>
    <t>Media 5</t>
  </si>
  <si>
    <t>Media 6</t>
  </si>
  <si>
    <t>Media 7</t>
  </si>
  <si>
    <t>Media 8</t>
  </si>
  <si>
    <t>Media 9</t>
  </si>
  <si>
    <t>Media 10</t>
  </si>
  <si>
    <t>Media 11</t>
  </si>
  <si>
    <t>Media 12</t>
  </si>
  <si>
    <t>Width X</t>
  </si>
  <si>
    <t>Width Y</t>
  </si>
  <si>
    <t>inches</t>
  </si>
  <si>
    <t>Microstrip at 10 GHz</t>
  </si>
  <si>
    <t>Stripline at 9 GHz</t>
  </si>
  <si>
    <t>Microstrip at 9 GHz</t>
  </si>
  <si>
    <t>Stripline at 10 GHz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</si>
</sst>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 x14ac:knownFonts="1">
    <font>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2" borderId="0" xfId="0" applyFill="1"/>
    <xf numFmtId="0" fontId="0" fillId="0" borderId="1" xfId="0" applyBorder="1" applyAlignment="1">
      <alignment horizontal="center" wrapText="1"/>
    </xf>
    <xf numFmtId="0" fontId="0" fillId="0" borderId="1" xfId="0" applyBorder="1" applyAlignment="1">
      <alignment horizontal="center"/>
    </xf>
    <xf numFmtId="2" fontId="0" fillId="0" borderId="1" xfId="0" applyNumberFormat="1" applyBorder="1" applyAlignment="1">
      <alignment horizontal="center"/>
    </xf>
    <xf numFmtId="2" fontId="0" fillId="0" borderId="0" xfId="0" applyNumberFormat="1"/>
    <xf numFmtId="0" fontId="0" fillId="0" borderId="0" xfId="0" applyAlignment="1">
      <alignment horizontal="center"/>
    </xf>
    <xf numFmtId="0" fontId="0" fillId="2" borderId="0" xfId="0" applyFill="1" applyAlignment="1">
      <alignment horizontal="left"/>
    </xf>
    <xf numFmtId="164" fontId="0" fillId="0" borderId="1" xfId="0" applyNumberFormat="1" applyBorder="1" applyAlignment="1">
      <alignment horizontal="center"/>
    </xf>
    <xf numFmtId="0" fontId="0" fillId="2" borderId="1" xfId="0" applyFill="1" applyBorder="1" applyAlignment="1">
      <alignment horizontal="center"/>
    </xf>
    <xf numFmtId="2" fontId="0" fillId="0" borderId="1" xfId="0" applyNumberFormat="1" applyBorder="1"/>
    <xf numFmtId="165" fontId="0" fillId="0" borderId="1" xfId="0" applyNumberFormat="1" applyBorder="1" applyAlignment="1">
      <alignment horizontal="center"/>
    </xf>
    <xf numFmtId="165" fontId="0" fillId="0" borderId="1" xfId="0" applyNumberFormat="1" applyBorder="1"/>
    <xf numFmtId="1" fontId="0" fillId="0" borderId="1" xfId="0" applyNumberFormat="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H-tree attenuation analysis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Individual divider</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'H-tree'!$B$17:$B$31</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xVal>
          <c:yVal>
            <c:numRef>
              <c:f>'H-tree'!$J$17:$J$31</c:f>
              <c:numCache>
                <c:formatCode>0.000</c:formatCode>
                <c:ptCount val="15"/>
                <c:pt idx="0">
                  <c:v>0</c:v>
                </c:pt>
                <c:pt idx="1">
                  <c:v>-0.262318</c:v>
                </c:pt>
                <c:pt idx="2">
                  <c:v>-0.18737000000000001</c:v>
                </c:pt>
                <c:pt idx="3">
                  <c:v>-0.52463599999999999</c:v>
                </c:pt>
                <c:pt idx="4">
                  <c:v>-0.37474000000000002</c:v>
                </c:pt>
                <c:pt idx="5">
                  <c:v>-1.049272</c:v>
                </c:pt>
                <c:pt idx="6">
                  <c:v>-0.74948000000000004</c:v>
                </c:pt>
                <c:pt idx="7">
                  <c:v>-2.098544</c:v>
                </c:pt>
                <c:pt idx="8">
                  <c:v>-1.4989600000000001</c:v>
                </c:pt>
                <c:pt idx="9">
                  <c:v>-4.1970879999999999</c:v>
                </c:pt>
                <c:pt idx="10">
                  <c:v>-1.1392095999999998</c:v>
                </c:pt>
                <c:pt idx="11">
                  <c:v>-3.1897868799999993</c:v>
                </c:pt>
                <c:pt idx="12">
                  <c:v>-2.2784191999999996</c:v>
                </c:pt>
                <c:pt idx="13">
                  <c:v>-6.3795737599999987</c:v>
                </c:pt>
                <c:pt idx="14">
                  <c:v>-4.5568383999999993</c:v>
                </c:pt>
              </c:numCache>
            </c:numRef>
          </c:yVal>
          <c:smooth val="0"/>
          <c:extLst>
            <c:ext xmlns:c16="http://schemas.microsoft.com/office/drawing/2014/chart" uri="{C3380CC4-5D6E-409C-BE32-E72D297353CC}">
              <c16:uniqueId val="{00000000-8B77-4957-8246-3597233FEFFE}"/>
            </c:ext>
          </c:extLst>
        </c:ser>
        <c:ser>
          <c:idx val="1"/>
          <c:order val="1"/>
          <c:tx>
            <c:v>Cumulative divider</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'H-tree'!$B$17:$B$31</c:f>
              <c:numCache>
                <c:formatCode>General</c:formatCode>
                <c:ptCount val="1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numCache>
            </c:numRef>
          </c:xVal>
          <c:yVal>
            <c:numRef>
              <c:f>'H-tree'!$K$17:$K$31</c:f>
              <c:numCache>
                <c:formatCode>0.000</c:formatCode>
                <c:ptCount val="15"/>
                <c:pt idx="0">
                  <c:v>0</c:v>
                </c:pt>
                <c:pt idx="1">
                  <c:v>-0.262318</c:v>
                </c:pt>
                <c:pt idx="2">
                  <c:v>-0.44968799999999998</c:v>
                </c:pt>
                <c:pt idx="3">
                  <c:v>-0.97432399999999997</c:v>
                </c:pt>
                <c:pt idx="4">
                  <c:v>-1.349064</c:v>
                </c:pt>
                <c:pt idx="5">
                  <c:v>-2.398336</c:v>
                </c:pt>
                <c:pt idx="6">
                  <c:v>-3.1478160000000002</c:v>
                </c:pt>
                <c:pt idx="7">
                  <c:v>-5.2463600000000001</c:v>
                </c:pt>
                <c:pt idx="8">
                  <c:v>-6.7453200000000004</c:v>
                </c:pt>
                <c:pt idx="9">
                  <c:v>-10.942408</c:v>
                </c:pt>
                <c:pt idx="10">
                  <c:v>-12.0816176</c:v>
                </c:pt>
                <c:pt idx="11">
                  <c:v>-15.271404479999999</c:v>
                </c:pt>
                <c:pt idx="12">
                  <c:v>-17.549823679999999</c:v>
                </c:pt>
                <c:pt idx="13">
                  <c:v>-23.929397439999999</c:v>
                </c:pt>
                <c:pt idx="14">
                  <c:v>-28.486235839999999</c:v>
                </c:pt>
              </c:numCache>
            </c:numRef>
          </c:yVal>
          <c:smooth val="0"/>
          <c:extLst>
            <c:ext xmlns:c16="http://schemas.microsoft.com/office/drawing/2014/chart" uri="{C3380CC4-5D6E-409C-BE32-E72D297353CC}">
              <c16:uniqueId val="{00000001-8B77-4957-8246-3597233FEFFE}"/>
            </c:ext>
          </c:extLst>
        </c:ser>
        <c:dLbls>
          <c:showLegendKey val="0"/>
          <c:showVal val="0"/>
          <c:showCatName val="0"/>
          <c:showSerName val="0"/>
          <c:showPercent val="0"/>
          <c:showBubbleSize val="0"/>
        </c:dLbls>
        <c:axId val="551380360"/>
        <c:axId val="551380688"/>
      </c:scatterChart>
      <c:valAx>
        <c:axId val="5513803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Divider number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51380688"/>
        <c:crossesAt val="-1000"/>
        <c:crossBetween val="midCat"/>
        <c:majorUnit val="1"/>
      </c:valAx>
      <c:valAx>
        <c:axId val="551380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Divider loss (dB)</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51380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BADD642-E117-402D-8BE2-731C75A07E1B}">
  <sheetPr/>
  <sheetViews>
    <sheetView zoomScale="9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182880</xdr:colOff>
      <xdr:row>1</xdr:row>
      <xdr:rowOff>160020</xdr:rowOff>
    </xdr:from>
    <xdr:to>
      <xdr:col>16</xdr:col>
      <xdr:colOff>7620</xdr:colOff>
      <xdr:row>30</xdr:row>
      <xdr:rowOff>106680</xdr:rowOff>
    </xdr:to>
    <xdr:sp macro="" textlink="">
      <xdr:nvSpPr>
        <xdr:cNvPr id="2" name="TextBox 1">
          <a:extLst>
            <a:ext uri="{FF2B5EF4-FFF2-40B4-BE49-F238E27FC236}">
              <a16:creationId xmlns:a16="http://schemas.microsoft.com/office/drawing/2014/main" id="{8106A8F3-A1ED-4A1F-9BEA-A6B9E38820EB}"/>
            </a:ext>
          </a:extLst>
        </xdr:cNvPr>
        <xdr:cNvSpPr txBox="1"/>
      </xdr:nvSpPr>
      <xdr:spPr>
        <a:xfrm>
          <a:off x="792480" y="342900"/>
          <a:ext cx="8968740" cy="5250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30</a:t>
          </a:r>
          <a:r>
            <a:rPr lang="en-US" sz="1100" baseline="0"/>
            <a:t> March 2019</a:t>
          </a:r>
        </a:p>
        <a:p>
          <a:r>
            <a:rPr lang="en-US" sz="1100" baseline="0"/>
            <a:t>M101_H_tree_Network_Rev_1.xlsx</a:t>
          </a:r>
        </a:p>
        <a:p>
          <a:endParaRPr lang="en-US" sz="1100" baseline="0"/>
        </a:p>
        <a:p>
          <a:r>
            <a:rPr lang="en-US" sz="1100" baseline="0"/>
            <a:t>Use this spreadsheet to calculate H-tree area (length and width), transmission line loss, antenna gain and directivity and more. The "RX gain" and "TX gain" functions are useful if you are if you are designing a BUC or LNB and want to know signal levels at element level versus at array level.</a:t>
          </a:r>
        </a:p>
        <a:p>
          <a:endParaRPr lang="en-US" sz="1100" baseline="0"/>
        </a:p>
        <a:p>
          <a:r>
            <a:rPr lang="en-US" sz="1100" baseline="0"/>
            <a:t>The blue fields are where you input data, unless you are brave enough to mess with the other calculations.</a:t>
          </a:r>
        </a:p>
        <a:p>
          <a:endParaRPr lang="en-US" sz="1100" baseline="0"/>
        </a:p>
        <a:p>
          <a:r>
            <a:rPr lang="en-US" sz="1100" baseline="0"/>
            <a:t>Start by entering descriptions and attenuations for the media you plan to use.  Note that you will have to enter different attenuations for different frequencies,  the spreadsheet does not attempt to scale attenuation with frequency.   You can enter attenuation as a positive or negative number, we take the absolute value and add a minus sign so you can't screw this up.  </a:t>
          </a:r>
        </a:p>
        <a:p>
          <a:endParaRPr lang="en-US" sz="1100" baseline="0"/>
        </a:p>
        <a:p>
          <a:r>
            <a:rPr lang="en-US" sz="1100" baseline="0">
              <a:solidFill>
                <a:schemeClr val="dk1"/>
              </a:solidFill>
              <a:effectLst/>
              <a:latin typeface="+mn-lt"/>
              <a:ea typeface="+mn-ea"/>
              <a:cs typeface="+mn-cs"/>
            </a:rPr>
            <a:t>For each stage you will need to use the pull-down menu to select the media you want. </a:t>
          </a:r>
          <a:endParaRPr lang="en-US" sz="1100" baseline="0"/>
        </a:p>
        <a:p>
          <a:endParaRPr lang="en-US" sz="1100" baseline="0"/>
        </a:p>
        <a:p>
          <a:r>
            <a:rPr lang="en-US" sz="1100" baseline="0">
              <a:solidFill>
                <a:schemeClr val="dk1"/>
              </a:solidFill>
              <a:effectLst/>
              <a:latin typeface="+mn-lt"/>
              <a:ea typeface="+mn-ea"/>
              <a:cs typeface="+mn-cs"/>
            </a:rPr>
            <a:t>Then enter your upper frequency, and the element spacing in wavelengths at that frequency. Note that you can use different spacings in X and Y.  The first split (nearest to the antenna element) is assumed to be in the X direction. </a:t>
          </a:r>
          <a:br>
            <a:rPr lang="en-US" sz="1100" baseline="0"/>
          </a:br>
          <a:endParaRPr lang="en-US" sz="1100" baseline="0"/>
        </a:p>
        <a:p>
          <a:r>
            <a:rPr lang="en-US" sz="1100" baseline="0"/>
            <a:t>Then go down the sheet and select the media for each power divider. The spreadsheet will keep your data hidden as "Media 1", Media 2" etc., because the descriptions could get out of hand.  Also, the LOOKUP function wants the table in alpha order, so we are forcing that...</a:t>
          </a:r>
        </a:p>
        <a:p>
          <a:endParaRPr lang="en-US" sz="1100" baseline="0"/>
        </a:p>
        <a:p>
          <a:r>
            <a:rPr lang="en-US" sz="1100" baseline="0"/>
            <a:t>The media data we entered for microstrip, stripline and waveguide are bogus.  Calculate your own attenuation constants and enter them in the table! Please use dB/mm.</a:t>
          </a:r>
        </a:p>
        <a:p>
          <a:endParaRPr lang="en-US" sz="1100" baseline="0"/>
        </a:p>
        <a:p>
          <a:r>
            <a:rPr lang="en-US" sz="1100" baseline="0"/>
            <a:t>You can change the frequency of the analysis, but you will have to change the media to the frequency-correct attenuation constants you entered using the pull down menus.  The spreadsheet will calculate gan and directivity based on the frequency you enter.</a:t>
          </a:r>
        </a:p>
        <a:p>
          <a:endParaRPr lang="en-US" sz="1100" baseline="0"/>
        </a:p>
        <a:p>
          <a:r>
            <a:rPr lang="en-US" sz="1100" baseline="0"/>
            <a:t>We included math down to a 2^14 elements.  You might want to highlight the row where your design stops.</a:t>
          </a:r>
        </a:p>
        <a:p>
          <a:endParaRPr lang="en-US" sz="1100" baseline="0"/>
        </a:p>
        <a:p>
          <a:r>
            <a:rPr lang="en-US" sz="1100" baseline="0"/>
            <a:t>Send questions/comments to UE@microwaves101.com</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a:extLst>
            <a:ext uri="{FF2B5EF4-FFF2-40B4-BE49-F238E27FC236}">
              <a16:creationId xmlns:a16="http://schemas.microsoft.com/office/drawing/2014/main" id="{2F9B9210-1EE2-4BDD-8076-EF7AB414F66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B09F6-209F-476A-817C-72EDF30F9AB7}">
  <dimension ref="A1"/>
  <sheetViews>
    <sheetView topLeftCell="A2" workbookViewId="0">
      <selection activeCell="A12" sqref="A12"/>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9251B-948F-4DD5-936C-7DC647F40106}">
  <dimension ref="B9:T46"/>
  <sheetViews>
    <sheetView tabSelected="1" topLeftCell="A8" zoomScale="88" workbookViewId="0">
      <selection activeCell="A34" sqref="A34:XFD34"/>
    </sheetView>
  </sheetViews>
  <sheetFormatPr defaultRowHeight="14.4" x14ac:dyDescent="0.3"/>
  <cols>
    <col min="3" max="3" width="9.5546875" customWidth="1"/>
    <col min="4" max="4" width="11.88671875" customWidth="1"/>
    <col min="5" max="5" width="11.6640625" customWidth="1"/>
    <col min="6" max="7" width="11.5546875" customWidth="1"/>
    <col min="8" max="8" width="12" customWidth="1"/>
    <col min="9" max="9" width="12.109375" customWidth="1"/>
    <col min="10" max="10" width="13.33203125" customWidth="1"/>
    <col min="11" max="11" width="13.6640625" customWidth="1"/>
    <col min="12" max="12" width="8.77734375" customWidth="1"/>
    <col min="13" max="13" width="10.5546875" customWidth="1"/>
    <col min="14" max="14" width="12.44140625" customWidth="1"/>
    <col min="15" max="15" width="10.77734375" customWidth="1"/>
  </cols>
  <sheetData>
    <row r="9" spans="2:20" x14ac:dyDescent="0.3">
      <c r="C9" t="s">
        <v>15</v>
      </c>
      <c r="E9" s="1">
        <v>10</v>
      </c>
      <c r="F9" t="s">
        <v>16</v>
      </c>
      <c r="I9" t="s">
        <v>5</v>
      </c>
      <c r="K9" s="1">
        <v>0.7</v>
      </c>
      <c r="L9" t="s">
        <v>23</v>
      </c>
    </row>
    <row r="10" spans="2:20" x14ac:dyDescent="0.3">
      <c r="C10" t="s">
        <v>17</v>
      </c>
      <c r="E10" s="5">
        <f>299.792/E9</f>
        <v>29.979199999999999</v>
      </c>
      <c r="F10" t="s">
        <v>18</v>
      </c>
      <c r="I10" t="s">
        <v>6</v>
      </c>
      <c r="K10" s="1">
        <v>0.5</v>
      </c>
      <c r="L10" t="s">
        <v>23</v>
      </c>
    </row>
    <row r="11" spans="2:20" x14ac:dyDescent="0.3">
      <c r="C11" t="s">
        <v>24</v>
      </c>
      <c r="E11" s="1">
        <v>9</v>
      </c>
      <c r="F11" t="s">
        <v>16</v>
      </c>
      <c r="I11" t="s">
        <v>5</v>
      </c>
      <c r="K11" s="5">
        <f>E10*K9</f>
        <v>20.985439999999997</v>
      </c>
      <c r="L11" t="s">
        <v>18</v>
      </c>
    </row>
    <row r="12" spans="2:20" x14ac:dyDescent="0.3">
      <c r="C12" t="s">
        <v>17</v>
      </c>
      <c r="E12" s="5">
        <f>299.792/E11</f>
        <v>33.310222222222222</v>
      </c>
      <c r="F12" t="s">
        <v>18</v>
      </c>
      <c r="I12" t="s">
        <v>6</v>
      </c>
      <c r="K12" s="5">
        <f>E10*K10</f>
        <v>14.989599999999999</v>
      </c>
      <c r="L12" t="s">
        <v>18</v>
      </c>
    </row>
    <row r="15" spans="2:20" ht="43.2" x14ac:dyDescent="0.3">
      <c r="B15" s="2" t="s">
        <v>0</v>
      </c>
      <c r="C15" s="2" t="s">
        <v>12</v>
      </c>
      <c r="D15" s="2" t="s">
        <v>26</v>
      </c>
      <c r="E15" s="2" t="s">
        <v>7</v>
      </c>
      <c r="F15" s="2" t="s">
        <v>7</v>
      </c>
      <c r="G15" s="2" t="s">
        <v>21</v>
      </c>
      <c r="H15" s="2" t="s">
        <v>20</v>
      </c>
      <c r="I15" s="2" t="s">
        <v>8</v>
      </c>
      <c r="J15" s="2" t="s">
        <v>10</v>
      </c>
      <c r="K15" s="2" t="s">
        <v>11</v>
      </c>
      <c r="L15" s="2" t="s">
        <v>1</v>
      </c>
      <c r="M15" s="2" t="s">
        <v>2</v>
      </c>
      <c r="N15" s="2" t="s">
        <v>3</v>
      </c>
      <c r="O15" s="2" t="s">
        <v>13</v>
      </c>
      <c r="P15" s="2" t="s">
        <v>14</v>
      </c>
      <c r="Q15" s="2" t="s">
        <v>41</v>
      </c>
      <c r="R15" s="2" t="s">
        <v>42</v>
      </c>
      <c r="S15" s="2" t="s">
        <v>41</v>
      </c>
      <c r="T15" s="2" t="s">
        <v>42</v>
      </c>
    </row>
    <row r="16" spans="2:20" x14ac:dyDescent="0.3">
      <c r="B16" s="3"/>
      <c r="C16" s="3"/>
      <c r="D16" s="3" t="s">
        <v>4</v>
      </c>
      <c r="E16" s="3" t="s">
        <v>9</v>
      </c>
      <c r="F16" s="3" t="s">
        <v>18</v>
      </c>
      <c r="G16" s="3"/>
      <c r="H16" s="3" t="s">
        <v>19</v>
      </c>
      <c r="I16" s="3" t="s">
        <v>18</v>
      </c>
      <c r="J16" s="3" t="s">
        <v>4</v>
      </c>
      <c r="K16" s="3" t="s">
        <v>4</v>
      </c>
      <c r="L16" s="3" t="s">
        <v>4</v>
      </c>
      <c r="M16" s="3" t="s">
        <v>4</v>
      </c>
      <c r="N16" s="3" t="s">
        <v>22</v>
      </c>
      <c r="O16" s="3" t="s">
        <v>25</v>
      </c>
      <c r="P16" s="3" t="s">
        <v>25</v>
      </c>
      <c r="Q16" s="3" t="s">
        <v>18</v>
      </c>
      <c r="R16" s="3" t="s">
        <v>18</v>
      </c>
      <c r="S16" s="3" t="s">
        <v>43</v>
      </c>
      <c r="T16" s="3" t="s">
        <v>43</v>
      </c>
    </row>
    <row r="17" spans="2:20" x14ac:dyDescent="0.3">
      <c r="B17" s="3">
        <v>0</v>
      </c>
      <c r="C17" s="3">
        <f>2^B17</f>
        <v>1</v>
      </c>
      <c r="D17" s="4">
        <f>10*LOG(C17)</f>
        <v>0</v>
      </c>
      <c r="E17" s="3">
        <v>0</v>
      </c>
      <c r="F17" s="4">
        <f>E17*E$10</f>
        <v>0</v>
      </c>
      <c r="G17" s="9" t="s">
        <v>29</v>
      </c>
      <c r="H17" s="8">
        <f>-ABS(LOOKUP(G17,F$35:J$46,J$35:J$46))</f>
        <v>-2.5000000000000001E-2</v>
      </c>
      <c r="I17" s="3">
        <v>0</v>
      </c>
      <c r="J17" s="11">
        <f>H17*F17</f>
        <v>0</v>
      </c>
      <c r="K17" s="11">
        <f>J17</f>
        <v>0</v>
      </c>
      <c r="L17" s="4">
        <f t="shared" ref="L17:L28" si="0">D17-K17</f>
        <v>0</v>
      </c>
      <c r="M17" s="4">
        <f t="shared" ref="M17:M28" si="1">-D17-K17</f>
        <v>0</v>
      </c>
      <c r="N17" s="13">
        <f>K$11*K$12*C17</f>
        <v>314.56335142399996</v>
      </c>
      <c r="O17" s="4">
        <f>10*LOG(4*PI()*N17/E$12^2)</f>
        <v>5.5176292725102165</v>
      </c>
      <c r="P17" s="4">
        <f>O17+K17</f>
        <v>5.5176292725102165</v>
      </c>
      <c r="Q17" s="10">
        <f>K$11</f>
        <v>20.985439999999997</v>
      </c>
      <c r="R17" s="10">
        <f>K$12</f>
        <v>14.989599999999999</v>
      </c>
      <c r="S17" s="12">
        <f>Q17/25.4</f>
        <v>0.82619842519685027</v>
      </c>
      <c r="T17" s="12">
        <f>R17/25.4</f>
        <v>0.59014173228346456</v>
      </c>
    </row>
    <row r="18" spans="2:20" x14ac:dyDescent="0.3">
      <c r="B18" s="3">
        <f t="shared" ref="B18:B31" si="2">B17+1</f>
        <v>1</v>
      </c>
      <c r="C18" s="3">
        <f t="shared" ref="C18:C27" si="3">2^B18</f>
        <v>2</v>
      </c>
      <c r="D18" s="4">
        <f t="shared" ref="D18:D27" si="4">10*LOG(C18)</f>
        <v>3.0102999566398121</v>
      </c>
      <c r="E18" s="3">
        <f>K9/2</f>
        <v>0.35</v>
      </c>
      <c r="F18" s="4">
        <f t="shared" ref="F18:F28" si="5">E18*E$10</f>
        <v>10.492719999999998</v>
      </c>
      <c r="G18" s="9" t="s">
        <v>29</v>
      </c>
      <c r="H18" s="8">
        <f t="shared" ref="H18:H31" si="6">-ABS(LOOKUP(G18,F$35:J$46,J$35:J$46))</f>
        <v>-2.5000000000000001E-2</v>
      </c>
      <c r="I18" s="4">
        <f>I17+F18</f>
        <v>10.492719999999998</v>
      </c>
      <c r="J18" s="11">
        <f t="shared" ref="J18:J31" si="7">H18*F18</f>
        <v>-0.262318</v>
      </c>
      <c r="K18" s="11">
        <f>K17+J18</f>
        <v>-0.262318</v>
      </c>
      <c r="L18" s="4">
        <f t="shared" si="0"/>
        <v>3.2726179566398121</v>
      </c>
      <c r="M18" s="4">
        <f t="shared" si="1"/>
        <v>-2.747981956639812</v>
      </c>
      <c r="N18" s="13">
        <f t="shared" ref="N18:N28" si="8">K$11*K$12*C18</f>
        <v>629.12670284799992</v>
      </c>
      <c r="O18" s="4">
        <f t="shared" ref="O18:O28" si="9">10*LOG(4*PI()*N18/E$12^2)</f>
        <v>8.5279292291500273</v>
      </c>
      <c r="P18" s="4">
        <f t="shared" ref="P18:P28" si="10">O18+K18</f>
        <v>8.2656112291500268</v>
      </c>
      <c r="Q18" s="10">
        <f>2*K$11</f>
        <v>41.970879999999994</v>
      </c>
      <c r="R18" s="10">
        <f>K$12</f>
        <v>14.989599999999999</v>
      </c>
      <c r="S18" s="12">
        <f t="shared" ref="S18:S30" si="11">Q18/25.4</f>
        <v>1.6523968503937005</v>
      </c>
      <c r="T18" s="12">
        <f t="shared" ref="T18:T30" si="12">R18/25.4</f>
        <v>0.59014173228346456</v>
      </c>
    </row>
    <row r="19" spans="2:20" x14ac:dyDescent="0.3">
      <c r="B19" s="3">
        <f t="shared" si="2"/>
        <v>2</v>
      </c>
      <c r="C19" s="3">
        <f t="shared" si="3"/>
        <v>4</v>
      </c>
      <c r="D19" s="4">
        <f t="shared" si="4"/>
        <v>6.0205999132796242</v>
      </c>
      <c r="E19" s="3">
        <f>K10/2</f>
        <v>0.25</v>
      </c>
      <c r="F19" s="4">
        <f t="shared" si="5"/>
        <v>7.4947999999999997</v>
      </c>
      <c r="G19" s="9" t="s">
        <v>29</v>
      </c>
      <c r="H19" s="8">
        <f t="shared" si="6"/>
        <v>-2.5000000000000001E-2</v>
      </c>
      <c r="I19" s="4">
        <f t="shared" ref="I19:I28" si="13">I18+F19</f>
        <v>17.987519999999996</v>
      </c>
      <c r="J19" s="11">
        <f t="shared" si="7"/>
        <v>-0.18737000000000001</v>
      </c>
      <c r="K19" s="11">
        <f t="shared" ref="K19:K31" si="14">K18+J19</f>
        <v>-0.44968799999999998</v>
      </c>
      <c r="L19" s="4">
        <f t="shared" si="0"/>
        <v>6.4702879132796243</v>
      </c>
      <c r="M19" s="4">
        <f t="shared" si="1"/>
        <v>-5.5709119132796241</v>
      </c>
      <c r="N19" s="13">
        <f t="shared" si="8"/>
        <v>1258.2534056959998</v>
      </c>
      <c r="O19" s="4">
        <f t="shared" si="9"/>
        <v>11.538229185789838</v>
      </c>
      <c r="P19" s="4">
        <f t="shared" si="10"/>
        <v>11.088541185789838</v>
      </c>
      <c r="Q19" s="10">
        <f>2*K$11</f>
        <v>41.970879999999994</v>
      </c>
      <c r="R19" s="10">
        <f t="shared" ref="R19" si="15">2*K$12</f>
        <v>29.979199999999999</v>
      </c>
      <c r="S19" s="12">
        <f t="shared" si="11"/>
        <v>1.6523968503937005</v>
      </c>
      <c r="T19" s="12">
        <f t="shared" si="12"/>
        <v>1.1802834645669291</v>
      </c>
    </row>
    <row r="20" spans="2:20" x14ac:dyDescent="0.3">
      <c r="B20" s="3">
        <f t="shared" si="2"/>
        <v>3</v>
      </c>
      <c r="C20" s="3">
        <f t="shared" si="3"/>
        <v>8</v>
      </c>
      <c r="D20" s="4">
        <f t="shared" si="4"/>
        <v>9.0308998699194358</v>
      </c>
      <c r="E20" s="3">
        <f>K$9</f>
        <v>0.7</v>
      </c>
      <c r="F20" s="4">
        <f t="shared" si="5"/>
        <v>20.985439999999997</v>
      </c>
      <c r="G20" s="9" t="s">
        <v>29</v>
      </c>
      <c r="H20" s="8">
        <f t="shared" si="6"/>
        <v>-2.5000000000000001E-2</v>
      </c>
      <c r="I20" s="4">
        <f t="shared" si="13"/>
        <v>38.972959999999993</v>
      </c>
      <c r="J20" s="11">
        <f t="shared" si="7"/>
        <v>-0.52463599999999999</v>
      </c>
      <c r="K20" s="11">
        <f t="shared" si="14"/>
        <v>-0.97432399999999997</v>
      </c>
      <c r="L20" s="4">
        <f t="shared" si="0"/>
        <v>10.005223869919435</v>
      </c>
      <c r="M20" s="4">
        <f t="shared" si="1"/>
        <v>-8.0565758699194365</v>
      </c>
      <c r="N20" s="13">
        <f t="shared" si="8"/>
        <v>2516.5068113919997</v>
      </c>
      <c r="O20" s="4">
        <f t="shared" si="9"/>
        <v>14.548529142429651</v>
      </c>
      <c r="P20" s="4">
        <f t="shared" si="10"/>
        <v>13.574205142429651</v>
      </c>
      <c r="Q20" s="10">
        <f>4*K$11</f>
        <v>83.941759999999988</v>
      </c>
      <c r="R20" s="10">
        <f>2*K$12</f>
        <v>29.979199999999999</v>
      </c>
      <c r="S20" s="12">
        <f t="shared" si="11"/>
        <v>3.3047937007874011</v>
      </c>
      <c r="T20" s="12">
        <f t="shared" si="12"/>
        <v>1.1802834645669291</v>
      </c>
    </row>
    <row r="21" spans="2:20" x14ac:dyDescent="0.3">
      <c r="B21" s="3">
        <f t="shared" si="2"/>
        <v>4</v>
      </c>
      <c r="C21" s="3">
        <f t="shared" si="3"/>
        <v>16</v>
      </c>
      <c r="D21" s="4">
        <f t="shared" si="4"/>
        <v>12.041199826559248</v>
      </c>
      <c r="E21" s="3">
        <f>K$10</f>
        <v>0.5</v>
      </c>
      <c r="F21" s="4">
        <f t="shared" si="5"/>
        <v>14.989599999999999</v>
      </c>
      <c r="G21" s="9" t="s">
        <v>29</v>
      </c>
      <c r="H21" s="8">
        <f t="shared" si="6"/>
        <v>-2.5000000000000001E-2</v>
      </c>
      <c r="I21" s="4">
        <f t="shared" si="13"/>
        <v>53.962559999999996</v>
      </c>
      <c r="J21" s="11">
        <f t="shared" si="7"/>
        <v>-0.37474000000000002</v>
      </c>
      <c r="K21" s="11">
        <f t="shared" si="14"/>
        <v>-1.349064</v>
      </c>
      <c r="L21" s="4">
        <f t="shared" si="0"/>
        <v>13.390263826559249</v>
      </c>
      <c r="M21" s="4">
        <f t="shared" si="1"/>
        <v>-10.692135826559248</v>
      </c>
      <c r="N21" s="13">
        <f t="shared" si="8"/>
        <v>5033.0136227839994</v>
      </c>
      <c r="O21" s="4">
        <f t="shared" si="9"/>
        <v>17.558829099069463</v>
      </c>
      <c r="P21" s="4">
        <f t="shared" si="10"/>
        <v>16.209765099069465</v>
      </c>
      <c r="Q21" s="10">
        <f>4*K$11</f>
        <v>83.941759999999988</v>
      </c>
      <c r="R21" s="10">
        <f>4*K$12</f>
        <v>59.958399999999997</v>
      </c>
      <c r="S21" s="12">
        <f t="shared" si="11"/>
        <v>3.3047937007874011</v>
      </c>
      <c r="T21" s="12">
        <f t="shared" si="12"/>
        <v>2.3605669291338582</v>
      </c>
    </row>
    <row r="22" spans="2:20" x14ac:dyDescent="0.3">
      <c r="B22" s="3">
        <f t="shared" si="2"/>
        <v>5</v>
      </c>
      <c r="C22" s="3">
        <f t="shared" si="3"/>
        <v>32</v>
      </c>
      <c r="D22" s="4">
        <f t="shared" si="4"/>
        <v>15.051499783199061</v>
      </c>
      <c r="E22" s="3">
        <f>2*K$9</f>
        <v>1.4</v>
      </c>
      <c r="F22" s="4">
        <f t="shared" si="5"/>
        <v>41.970879999999994</v>
      </c>
      <c r="G22" s="9" t="s">
        <v>29</v>
      </c>
      <c r="H22" s="8">
        <f t="shared" si="6"/>
        <v>-2.5000000000000001E-2</v>
      </c>
      <c r="I22" s="4">
        <f t="shared" si="13"/>
        <v>95.93343999999999</v>
      </c>
      <c r="J22" s="11">
        <f t="shared" si="7"/>
        <v>-1.049272</v>
      </c>
      <c r="K22" s="11">
        <f t="shared" si="14"/>
        <v>-2.398336</v>
      </c>
      <c r="L22" s="4">
        <f t="shared" si="0"/>
        <v>17.44983578319906</v>
      </c>
      <c r="M22" s="4">
        <f t="shared" si="1"/>
        <v>-12.65316378319906</v>
      </c>
      <c r="N22" s="13">
        <f t="shared" si="8"/>
        <v>10066.027245567999</v>
      </c>
      <c r="O22" s="4">
        <f t="shared" si="9"/>
        <v>20.569129055709276</v>
      </c>
      <c r="P22" s="4">
        <f t="shared" si="10"/>
        <v>18.170793055709275</v>
      </c>
      <c r="Q22" s="10">
        <f>8*K$11</f>
        <v>167.88351999999998</v>
      </c>
      <c r="R22" s="10">
        <f>4*K$12</f>
        <v>59.958399999999997</v>
      </c>
      <c r="S22" s="12">
        <f t="shared" si="11"/>
        <v>6.6095874015748022</v>
      </c>
      <c r="T22" s="12">
        <f t="shared" si="12"/>
        <v>2.3605669291338582</v>
      </c>
    </row>
    <row r="23" spans="2:20" x14ac:dyDescent="0.3">
      <c r="B23" s="3">
        <f t="shared" si="2"/>
        <v>6</v>
      </c>
      <c r="C23" s="3">
        <f t="shared" si="3"/>
        <v>64</v>
      </c>
      <c r="D23" s="4">
        <f t="shared" si="4"/>
        <v>18.061799739838872</v>
      </c>
      <c r="E23" s="3">
        <f>2*K$10</f>
        <v>1</v>
      </c>
      <c r="F23" s="4">
        <f t="shared" si="5"/>
        <v>29.979199999999999</v>
      </c>
      <c r="G23" s="9" t="s">
        <v>29</v>
      </c>
      <c r="H23" s="8">
        <f t="shared" si="6"/>
        <v>-2.5000000000000001E-2</v>
      </c>
      <c r="I23" s="4">
        <f t="shared" si="13"/>
        <v>125.91263999999998</v>
      </c>
      <c r="J23" s="11">
        <f t="shared" si="7"/>
        <v>-0.74948000000000004</v>
      </c>
      <c r="K23" s="11">
        <f t="shared" si="14"/>
        <v>-3.1478160000000002</v>
      </c>
      <c r="L23" s="4">
        <f t="shared" si="0"/>
        <v>21.20961573983887</v>
      </c>
      <c r="M23" s="4">
        <f t="shared" si="1"/>
        <v>-14.913983739838871</v>
      </c>
      <c r="N23" s="13">
        <f t="shared" si="8"/>
        <v>20132.054491135998</v>
      </c>
      <c r="O23" s="4">
        <f t="shared" si="9"/>
        <v>23.579429012349088</v>
      </c>
      <c r="P23" s="4">
        <f t="shared" si="10"/>
        <v>20.431613012349089</v>
      </c>
      <c r="Q23" s="10">
        <f>8*K$11</f>
        <v>167.88351999999998</v>
      </c>
      <c r="R23" s="10">
        <f>8*K$12</f>
        <v>119.91679999999999</v>
      </c>
      <c r="S23" s="12">
        <f t="shared" si="11"/>
        <v>6.6095874015748022</v>
      </c>
      <c r="T23" s="12">
        <f t="shared" si="12"/>
        <v>4.7211338582677165</v>
      </c>
    </row>
    <row r="24" spans="2:20" x14ac:dyDescent="0.3">
      <c r="B24" s="3">
        <f t="shared" si="2"/>
        <v>7</v>
      </c>
      <c r="C24" s="3">
        <f t="shared" si="3"/>
        <v>128</v>
      </c>
      <c r="D24" s="4">
        <f t="shared" si="4"/>
        <v>21.072099696478684</v>
      </c>
      <c r="E24" s="3">
        <f>4*K$9</f>
        <v>2.8</v>
      </c>
      <c r="F24" s="4">
        <f t="shared" si="5"/>
        <v>83.941759999999988</v>
      </c>
      <c r="G24" s="9" t="s">
        <v>29</v>
      </c>
      <c r="H24" s="8">
        <f t="shared" si="6"/>
        <v>-2.5000000000000001E-2</v>
      </c>
      <c r="I24" s="4">
        <f t="shared" si="13"/>
        <v>209.85439999999997</v>
      </c>
      <c r="J24" s="11">
        <f t="shared" si="7"/>
        <v>-2.098544</v>
      </c>
      <c r="K24" s="11">
        <f t="shared" si="14"/>
        <v>-5.2463600000000001</v>
      </c>
      <c r="L24" s="4">
        <f t="shared" si="0"/>
        <v>26.318459696478683</v>
      </c>
      <c r="M24" s="4">
        <f t="shared" si="1"/>
        <v>-15.825739696478685</v>
      </c>
      <c r="N24" s="13">
        <f t="shared" si="8"/>
        <v>40264.108982271995</v>
      </c>
      <c r="O24" s="4">
        <f t="shared" si="9"/>
        <v>26.589728968988897</v>
      </c>
      <c r="P24" s="4">
        <f t="shared" si="10"/>
        <v>21.343368968988898</v>
      </c>
      <c r="Q24" s="10">
        <f>16*K$11</f>
        <v>335.76703999999995</v>
      </c>
      <c r="R24" s="10">
        <f>8*K$12</f>
        <v>119.91679999999999</v>
      </c>
      <c r="S24" s="12">
        <f t="shared" si="11"/>
        <v>13.219174803149604</v>
      </c>
      <c r="T24" s="12">
        <f t="shared" si="12"/>
        <v>4.7211338582677165</v>
      </c>
    </row>
    <row r="25" spans="2:20" x14ac:dyDescent="0.3">
      <c r="B25" s="3">
        <f t="shared" si="2"/>
        <v>8</v>
      </c>
      <c r="C25" s="3">
        <f t="shared" si="3"/>
        <v>256</v>
      </c>
      <c r="D25" s="4">
        <f t="shared" si="4"/>
        <v>24.082399653118497</v>
      </c>
      <c r="E25" s="3">
        <f>4*K$10</f>
        <v>2</v>
      </c>
      <c r="F25" s="4">
        <f t="shared" si="5"/>
        <v>59.958399999999997</v>
      </c>
      <c r="G25" s="9" t="s">
        <v>29</v>
      </c>
      <c r="H25" s="8">
        <f t="shared" si="6"/>
        <v>-2.5000000000000001E-2</v>
      </c>
      <c r="I25" s="4">
        <f t="shared" si="13"/>
        <v>269.81279999999998</v>
      </c>
      <c r="J25" s="11">
        <f t="shared" si="7"/>
        <v>-1.4989600000000001</v>
      </c>
      <c r="K25" s="11">
        <f t="shared" si="14"/>
        <v>-6.7453200000000004</v>
      </c>
      <c r="L25" s="4">
        <f t="shared" si="0"/>
        <v>30.827719653118496</v>
      </c>
      <c r="M25" s="4">
        <f t="shared" si="1"/>
        <v>-17.337079653118497</v>
      </c>
      <c r="N25" s="13">
        <f t="shared" si="8"/>
        <v>80528.21796454399</v>
      </c>
      <c r="O25" s="4">
        <f t="shared" si="9"/>
        <v>29.60002892562871</v>
      </c>
      <c r="P25" s="4">
        <f t="shared" si="10"/>
        <v>22.85470892562871</v>
      </c>
      <c r="Q25" s="10">
        <f>16*K$11</f>
        <v>335.76703999999995</v>
      </c>
      <c r="R25" s="10">
        <f>16*K$12</f>
        <v>239.83359999999999</v>
      </c>
      <c r="S25" s="12">
        <f t="shared" si="11"/>
        <v>13.219174803149604</v>
      </c>
      <c r="T25" s="12">
        <f t="shared" si="12"/>
        <v>9.442267716535433</v>
      </c>
    </row>
    <row r="26" spans="2:20" x14ac:dyDescent="0.3">
      <c r="B26" s="3">
        <f t="shared" si="2"/>
        <v>9</v>
      </c>
      <c r="C26" s="3">
        <f t="shared" si="3"/>
        <v>512</v>
      </c>
      <c r="D26" s="4">
        <f t="shared" si="4"/>
        <v>27.092699609758309</v>
      </c>
      <c r="E26" s="3">
        <f>8*K$9</f>
        <v>5.6</v>
      </c>
      <c r="F26" s="4">
        <f t="shared" si="5"/>
        <v>167.88351999999998</v>
      </c>
      <c r="G26" s="9" t="s">
        <v>29</v>
      </c>
      <c r="H26" s="8">
        <f t="shared" si="6"/>
        <v>-2.5000000000000001E-2</v>
      </c>
      <c r="I26" s="4">
        <f t="shared" si="13"/>
        <v>437.69631999999996</v>
      </c>
      <c r="J26" s="11">
        <f t="shared" si="7"/>
        <v>-4.1970879999999999</v>
      </c>
      <c r="K26" s="11">
        <f t="shared" si="14"/>
        <v>-10.942408</v>
      </c>
      <c r="L26" s="4">
        <f t="shared" si="0"/>
        <v>38.035107609758313</v>
      </c>
      <c r="M26" s="4">
        <f t="shared" si="1"/>
        <v>-16.150291609758309</v>
      </c>
      <c r="N26" s="13">
        <f t="shared" si="8"/>
        <v>161056.43592908798</v>
      </c>
      <c r="O26" s="4">
        <f t="shared" si="9"/>
        <v>32.610328882268519</v>
      </c>
      <c r="P26" s="4">
        <f t="shared" si="10"/>
        <v>21.667920882268518</v>
      </c>
      <c r="Q26" s="10">
        <f>32*K$11</f>
        <v>671.5340799999999</v>
      </c>
      <c r="R26" s="10">
        <f>16*K$12</f>
        <v>239.83359999999999</v>
      </c>
      <c r="S26" s="12">
        <f t="shared" si="11"/>
        <v>26.438349606299209</v>
      </c>
      <c r="T26" s="12">
        <f t="shared" si="12"/>
        <v>9.442267716535433</v>
      </c>
    </row>
    <row r="27" spans="2:20" x14ac:dyDescent="0.3">
      <c r="B27" s="3">
        <f t="shared" si="2"/>
        <v>10</v>
      </c>
      <c r="C27" s="3">
        <f t="shared" si="3"/>
        <v>1024</v>
      </c>
      <c r="D27" s="4">
        <f t="shared" si="4"/>
        <v>30.102999566398122</v>
      </c>
      <c r="E27" s="3">
        <f>8*K$10</f>
        <v>4</v>
      </c>
      <c r="F27" s="4">
        <f t="shared" si="5"/>
        <v>119.91679999999999</v>
      </c>
      <c r="G27" s="9" t="s">
        <v>32</v>
      </c>
      <c r="H27" s="8">
        <f t="shared" si="6"/>
        <v>-9.4999999999999998E-3</v>
      </c>
      <c r="I27" s="4">
        <f t="shared" si="13"/>
        <v>557.61311999999998</v>
      </c>
      <c r="J27" s="11">
        <f t="shared" si="7"/>
        <v>-1.1392095999999998</v>
      </c>
      <c r="K27" s="11">
        <f t="shared" si="14"/>
        <v>-12.0816176</v>
      </c>
      <c r="L27" s="4">
        <f t="shared" si="0"/>
        <v>42.18461716639812</v>
      </c>
      <c r="M27" s="4">
        <f t="shared" si="1"/>
        <v>-18.021381966398124</v>
      </c>
      <c r="N27" s="13">
        <f t="shared" si="8"/>
        <v>322112.87185817596</v>
      </c>
      <c r="O27" s="4">
        <f t="shared" si="9"/>
        <v>35.620628838908331</v>
      </c>
      <c r="P27" s="4">
        <f t="shared" si="10"/>
        <v>23.53901123890833</v>
      </c>
      <c r="Q27" s="10">
        <f>32*K$11</f>
        <v>671.5340799999999</v>
      </c>
      <c r="R27" s="10">
        <f>32*K$12</f>
        <v>479.66719999999998</v>
      </c>
      <c r="S27" s="12">
        <f t="shared" si="11"/>
        <v>26.438349606299209</v>
      </c>
      <c r="T27" s="12">
        <f t="shared" si="12"/>
        <v>18.884535433070866</v>
      </c>
    </row>
    <row r="28" spans="2:20" x14ac:dyDescent="0.3">
      <c r="B28" s="3">
        <f t="shared" si="2"/>
        <v>11</v>
      </c>
      <c r="C28" s="3">
        <f t="shared" ref="C28" si="16">2^B28</f>
        <v>2048</v>
      </c>
      <c r="D28" s="4">
        <f t="shared" ref="D28" si="17">10*LOG(C28)</f>
        <v>33.113299523037931</v>
      </c>
      <c r="E28" s="3">
        <f>16*K$9</f>
        <v>11.2</v>
      </c>
      <c r="F28" s="4">
        <f t="shared" si="5"/>
        <v>335.76703999999995</v>
      </c>
      <c r="G28" s="9" t="s">
        <v>32</v>
      </c>
      <c r="H28" s="8">
        <f t="shared" si="6"/>
        <v>-9.4999999999999998E-3</v>
      </c>
      <c r="I28" s="4">
        <f t="shared" si="13"/>
        <v>893.38015999999993</v>
      </c>
      <c r="J28" s="11">
        <f t="shared" si="7"/>
        <v>-3.1897868799999993</v>
      </c>
      <c r="K28" s="11">
        <f t="shared" si="14"/>
        <v>-15.271404479999999</v>
      </c>
      <c r="L28" s="4">
        <f t="shared" si="0"/>
        <v>48.384704003037932</v>
      </c>
      <c r="M28" s="4">
        <f t="shared" si="1"/>
        <v>-17.84189504303793</v>
      </c>
      <c r="N28" s="13">
        <f t="shared" si="8"/>
        <v>644225.74371635192</v>
      </c>
      <c r="O28" s="4">
        <f t="shared" si="9"/>
        <v>38.630928795548144</v>
      </c>
      <c r="P28" s="4">
        <f t="shared" si="10"/>
        <v>23.359524315548143</v>
      </c>
      <c r="Q28" s="10">
        <f>64*K$11</f>
        <v>1343.0681599999998</v>
      </c>
      <c r="R28" s="10">
        <f>32*K$12</f>
        <v>479.66719999999998</v>
      </c>
      <c r="S28" s="12">
        <f t="shared" si="11"/>
        <v>52.876699212598417</v>
      </c>
      <c r="T28" s="12">
        <f t="shared" si="12"/>
        <v>18.884535433070866</v>
      </c>
    </row>
    <row r="29" spans="2:20" x14ac:dyDescent="0.3">
      <c r="B29" s="3">
        <f t="shared" si="2"/>
        <v>12</v>
      </c>
      <c r="C29" s="3">
        <f t="shared" ref="C29:C31" si="18">2^B29</f>
        <v>4096</v>
      </c>
      <c r="D29" s="4">
        <f t="shared" ref="D29:D31" si="19">10*LOG(C29)</f>
        <v>36.123599479677743</v>
      </c>
      <c r="E29" s="3">
        <f t="shared" ref="E29" si="20">16*K$10</f>
        <v>8</v>
      </c>
      <c r="F29" s="4">
        <f t="shared" ref="F29:F31" si="21">E29*E$10</f>
        <v>239.83359999999999</v>
      </c>
      <c r="G29" s="9" t="s">
        <v>32</v>
      </c>
      <c r="H29" s="8">
        <f t="shared" si="6"/>
        <v>-9.4999999999999998E-3</v>
      </c>
      <c r="I29" s="4">
        <f t="shared" ref="I29:I31" si="22">I28+F29</f>
        <v>1133.2137599999999</v>
      </c>
      <c r="J29" s="11">
        <f t="shared" si="7"/>
        <v>-2.2784191999999996</v>
      </c>
      <c r="K29" s="11">
        <f t="shared" si="14"/>
        <v>-17.549823679999999</v>
      </c>
      <c r="L29" s="4">
        <f t="shared" ref="L29:L31" si="23">D29-K29</f>
        <v>53.673423159677739</v>
      </c>
      <c r="M29" s="4">
        <f t="shared" ref="M29:M31" si="24">-D29-K29</f>
        <v>-18.573775799677744</v>
      </c>
      <c r="N29" s="13">
        <f t="shared" ref="N29:N31" si="25">K$11*K$12*C29</f>
        <v>1288451.4874327038</v>
      </c>
      <c r="O29" s="4">
        <f t="shared" ref="O29:O31" si="26">10*LOG(4*PI()*N29/E$12^2)</f>
        <v>41.641228752187956</v>
      </c>
      <c r="P29" s="4">
        <f t="shared" ref="P29:P31" si="27">O29+K29</f>
        <v>24.091405072187957</v>
      </c>
      <c r="Q29" s="10">
        <f>64*K$11</f>
        <v>1343.0681599999998</v>
      </c>
      <c r="R29" s="10">
        <f>64*K$12</f>
        <v>959.33439999999996</v>
      </c>
      <c r="S29" s="12">
        <f t="shared" si="11"/>
        <v>52.876699212598417</v>
      </c>
      <c r="T29" s="12">
        <f t="shared" si="12"/>
        <v>37.769070866141732</v>
      </c>
    </row>
    <row r="30" spans="2:20" x14ac:dyDescent="0.3">
      <c r="B30" s="3">
        <f t="shared" si="2"/>
        <v>13</v>
      </c>
      <c r="C30" s="3">
        <f t="shared" si="18"/>
        <v>8192</v>
      </c>
      <c r="D30" s="4">
        <f t="shared" si="19"/>
        <v>39.133899436317556</v>
      </c>
      <c r="E30" s="3">
        <f>32*K$9</f>
        <v>22.4</v>
      </c>
      <c r="F30" s="4">
        <f t="shared" si="21"/>
        <v>671.5340799999999</v>
      </c>
      <c r="G30" s="14" t="s">
        <v>32</v>
      </c>
      <c r="H30" s="8">
        <f t="shared" si="6"/>
        <v>-9.4999999999999998E-3</v>
      </c>
      <c r="I30" s="4">
        <f t="shared" si="22"/>
        <v>1804.7478399999998</v>
      </c>
      <c r="J30" s="11">
        <f t="shared" si="7"/>
        <v>-6.3795737599999987</v>
      </c>
      <c r="K30" s="11">
        <f t="shared" si="14"/>
        <v>-23.929397439999999</v>
      </c>
      <c r="L30" s="4">
        <f t="shared" si="23"/>
        <v>63.063296876317551</v>
      </c>
      <c r="M30" s="4">
        <f t="shared" si="24"/>
        <v>-15.204501996317557</v>
      </c>
      <c r="N30" s="13">
        <f t="shared" si="25"/>
        <v>2576902.9748654077</v>
      </c>
      <c r="O30" s="4">
        <f t="shared" si="26"/>
        <v>44.651528708827769</v>
      </c>
      <c r="P30" s="4">
        <f t="shared" si="27"/>
        <v>20.72213126882777</v>
      </c>
      <c r="Q30" s="10">
        <f>128*K$11</f>
        <v>2686.1363199999996</v>
      </c>
      <c r="R30" s="10">
        <f>64*K$12</f>
        <v>959.33439999999996</v>
      </c>
      <c r="S30" s="12">
        <f t="shared" si="11"/>
        <v>105.75339842519683</v>
      </c>
      <c r="T30" s="12">
        <f t="shared" si="12"/>
        <v>37.769070866141732</v>
      </c>
    </row>
    <row r="31" spans="2:20" x14ac:dyDescent="0.3">
      <c r="B31" s="3">
        <f t="shared" si="2"/>
        <v>14</v>
      </c>
      <c r="C31" s="3">
        <f t="shared" si="18"/>
        <v>16384</v>
      </c>
      <c r="D31" s="4">
        <f t="shared" si="19"/>
        <v>42.144199392957368</v>
      </c>
      <c r="E31" s="3">
        <f>32*K$10</f>
        <v>16</v>
      </c>
      <c r="F31" s="4">
        <f t="shared" si="21"/>
        <v>479.66719999999998</v>
      </c>
      <c r="G31" s="9" t="s">
        <v>32</v>
      </c>
      <c r="H31" s="8">
        <f t="shared" si="6"/>
        <v>-9.4999999999999998E-3</v>
      </c>
      <c r="I31" s="4">
        <f t="shared" si="22"/>
        <v>2284.4150399999999</v>
      </c>
      <c r="J31" s="11">
        <f t="shared" si="7"/>
        <v>-4.5568383999999993</v>
      </c>
      <c r="K31" s="11">
        <f t="shared" si="14"/>
        <v>-28.486235839999999</v>
      </c>
      <c r="L31" s="4">
        <f t="shared" si="23"/>
        <v>70.630435232957367</v>
      </c>
      <c r="M31" s="4">
        <f t="shared" si="24"/>
        <v>-13.657963552957369</v>
      </c>
      <c r="N31" s="13">
        <f t="shared" si="25"/>
        <v>5153805.9497308154</v>
      </c>
      <c r="O31" s="4">
        <f t="shared" si="26"/>
        <v>47.661828665467581</v>
      </c>
      <c r="P31" s="4">
        <f t="shared" si="27"/>
        <v>19.175592825467582</v>
      </c>
      <c r="Q31" s="10">
        <f>128*K$11</f>
        <v>2686.1363199999996</v>
      </c>
      <c r="R31" s="10">
        <f>128*K$12</f>
        <v>1918.6687999999999</v>
      </c>
      <c r="S31" s="12">
        <f t="shared" ref="S31" si="28">Q31/25.4</f>
        <v>105.75339842519683</v>
      </c>
      <c r="T31" s="12">
        <f t="shared" ref="T31" si="29">R31/25.4</f>
        <v>75.538141732283464</v>
      </c>
    </row>
    <row r="34" spans="6:11" x14ac:dyDescent="0.3">
      <c r="F34" t="s">
        <v>21</v>
      </c>
      <c r="G34" s="6" t="s">
        <v>31</v>
      </c>
      <c r="J34" t="s">
        <v>30</v>
      </c>
    </row>
    <row r="35" spans="6:11" x14ac:dyDescent="0.3">
      <c r="F35" t="s">
        <v>27</v>
      </c>
      <c r="G35" s="7" t="s">
        <v>44</v>
      </c>
      <c r="H35" s="1"/>
      <c r="I35" s="1"/>
      <c r="J35" s="1">
        <v>-0.03</v>
      </c>
      <c r="K35" t="s">
        <v>19</v>
      </c>
    </row>
    <row r="36" spans="6:11" x14ac:dyDescent="0.3">
      <c r="F36" t="s">
        <v>28</v>
      </c>
      <c r="G36" s="1" t="s">
        <v>47</v>
      </c>
      <c r="H36" s="1"/>
      <c r="I36" s="1"/>
      <c r="J36" s="1">
        <v>-0.01</v>
      </c>
      <c r="K36" t="s">
        <v>19</v>
      </c>
    </row>
    <row r="37" spans="6:11" x14ac:dyDescent="0.3">
      <c r="F37" t="s">
        <v>29</v>
      </c>
      <c r="G37" s="1" t="s">
        <v>46</v>
      </c>
      <c r="H37" s="1"/>
      <c r="I37" s="1"/>
      <c r="J37" s="1">
        <v>-2.5000000000000001E-2</v>
      </c>
      <c r="K37" t="s">
        <v>19</v>
      </c>
    </row>
    <row r="38" spans="6:11" x14ac:dyDescent="0.3">
      <c r="F38" t="s">
        <v>32</v>
      </c>
      <c r="G38" s="1" t="s">
        <v>45</v>
      </c>
      <c r="H38" s="1"/>
      <c r="I38" s="1"/>
      <c r="J38" s="1">
        <v>-9.4999999999999998E-3</v>
      </c>
      <c r="K38" t="s">
        <v>19</v>
      </c>
    </row>
    <row r="39" spans="6:11" x14ac:dyDescent="0.3">
      <c r="F39" t="s">
        <v>33</v>
      </c>
      <c r="G39" s="1"/>
      <c r="H39" s="1"/>
      <c r="I39" s="1"/>
      <c r="J39" s="1"/>
      <c r="K39" t="s">
        <v>19</v>
      </c>
    </row>
    <row r="40" spans="6:11" x14ac:dyDescent="0.3">
      <c r="F40" t="s">
        <v>34</v>
      </c>
      <c r="G40" s="1"/>
      <c r="H40" s="1"/>
      <c r="I40" s="1"/>
      <c r="J40" s="1"/>
      <c r="K40" t="s">
        <v>19</v>
      </c>
    </row>
    <row r="41" spans="6:11" x14ac:dyDescent="0.3">
      <c r="F41" t="s">
        <v>35</v>
      </c>
      <c r="G41" s="1"/>
      <c r="H41" s="1"/>
      <c r="I41" s="1"/>
      <c r="J41" s="1"/>
      <c r="K41" t="s">
        <v>19</v>
      </c>
    </row>
    <row r="42" spans="6:11" x14ac:dyDescent="0.3">
      <c r="F42" t="s">
        <v>36</v>
      </c>
      <c r="G42" s="1"/>
      <c r="H42" s="1"/>
      <c r="I42" s="1"/>
      <c r="J42" s="1"/>
      <c r="K42" t="s">
        <v>19</v>
      </c>
    </row>
    <row r="43" spans="6:11" x14ac:dyDescent="0.3">
      <c r="F43" t="s">
        <v>37</v>
      </c>
      <c r="G43" s="1"/>
      <c r="H43" s="1"/>
      <c r="I43" s="1"/>
      <c r="J43" s="1"/>
      <c r="K43" t="s">
        <v>19</v>
      </c>
    </row>
    <row r="44" spans="6:11" x14ac:dyDescent="0.3">
      <c r="F44" t="s">
        <v>38</v>
      </c>
      <c r="G44" s="1"/>
      <c r="H44" s="1"/>
      <c r="I44" s="1"/>
      <c r="J44" s="1"/>
      <c r="K44" t="s">
        <v>19</v>
      </c>
    </row>
    <row r="45" spans="6:11" x14ac:dyDescent="0.3">
      <c r="F45" t="s">
        <v>39</v>
      </c>
      <c r="G45" s="1"/>
      <c r="H45" s="1"/>
      <c r="I45" s="1"/>
      <c r="J45" s="1"/>
      <c r="K45" t="s">
        <v>19</v>
      </c>
    </row>
    <row r="46" spans="6:11" x14ac:dyDescent="0.3">
      <c r="F46" t="s">
        <v>40</v>
      </c>
      <c r="G46" s="1"/>
      <c r="H46" s="1"/>
      <c r="I46" s="1"/>
      <c r="J46" s="1"/>
      <c r="K46" t="s">
        <v>19</v>
      </c>
    </row>
  </sheetData>
  <dataValidations count="1">
    <dataValidation type="list" allowBlank="1" showInputMessage="1" showErrorMessage="1" sqref="G17:G31" xr:uid="{C0852B19-8CF9-4A66-9C90-3D64FFB1D990}">
      <formula1>$F$35:$F$46</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Readme</vt:lpstr>
      <vt:lpstr>H-tree</vt:lpstr>
      <vt:lpstr>Graph1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Editor</dc:creator>
  <cp:lastModifiedBy>Brenda</cp:lastModifiedBy>
  <dcterms:created xsi:type="dcterms:W3CDTF">2019-03-24T16:35:47Z</dcterms:created>
  <dcterms:modified xsi:type="dcterms:W3CDTF">2019-03-30T20:01:04Z</dcterms:modified>
</cp:coreProperties>
</file>