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20" activeTab="1"/>
  </bookViews>
  <sheets>
    <sheet name="Design Res &amp; Power &amp; Tol &amp; Etch" sheetId="1" r:id="rId1"/>
    <sheet name="Design Length &amp; Width" sheetId="2" r:id="rId2"/>
    <sheet name="Design Resistance &amp; Width" sheetId="3" r:id="rId3"/>
    <sheet name="Design Resistance &amp; Length" sheetId="4" r:id="rId4"/>
  </sheets>
  <definedNames>
    <definedName name="DesL100.01">#REF!</definedName>
    <definedName name="DesL100.02">#REF!</definedName>
    <definedName name="DesL100.03">#REF!</definedName>
    <definedName name="DesL100.04">#REF!</definedName>
    <definedName name="DesL100.05">#REF!</definedName>
    <definedName name="DesL100.06">#REF!</definedName>
    <definedName name="Desl100.1">'Design Length &amp; Width'!$AI$13</definedName>
    <definedName name="Desl100.2">'Design Length &amp; Width'!$AI$24</definedName>
    <definedName name="DesL100.3">'Design Length &amp; Width'!$AI$35</definedName>
    <definedName name="DesL100.4">'Design Length &amp; Width'!$AI$46</definedName>
    <definedName name="DesL100.5">'Design Length &amp; Width'!$AI$57</definedName>
    <definedName name="DesL100.6">'Design Length &amp; Width'!$AI$68</definedName>
    <definedName name="DesL1000.01">#REF!</definedName>
    <definedName name="DesL1000.02">#REF!</definedName>
    <definedName name="DesL1000.03">#REF!</definedName>
    <definedName name="DesL1000.04">#REF!</definedName>
    <definedName name="DesL1000.05">#REF!</definedName>
    <definedName name="DesL1000.06">#REF!</definedName>
    <definedName name="DesL1000.1">'Design Length &amp; Width'!$AI$15</definedName>
    <definedName name="DesL1000.2">'Design Length &amp; Width'!$AI$26</definedName>
    <definedName name="DesL1000.3">'Design Length &amp; Width'!$AI$37</definedName>
    <definedName name="DesL1000.4">'Design Length &amp; Width'!$AI$48</definedName>
    <definedName name="DesL1000.5">'Design Length &amp; Width'!$AI$59</definedName>
    <definedName name="DesL1000.6">'Design Length &amp; Width'!$AI$70</definedName>
    <definedName name="DesL25.01">#REF!</definedName>
    <definedName name="DesL25.02">#REF!</definedName>
    <definedName name="DesL25.03">#REF!</definedName>
    <definedName name="DesL25.04">#REF!</definedName>
    <definedName name="DesL25.05">#REF!</definedName>
    <definedName name="DesL25.06">#REF!</definedName>
    <definedName name="DesL25.1">'Design Length &amp; Width'!$AI$11</definedName>
    <definedName name="DesL25.2">'Design Length &amp; Width'!$AI$22</definedName>
    <definedName name="DesL25.3">'Design Length &amp; Width'!$AI$33</definedName>
    <definedName name="DesL25.4">'Design Length &amp; Width'!$AI$44</definedName>
    <definedName name="DesL25.5">'Design Length &amp; Width'!$AI$55</definedName>
    <definedName name="DesL25.6">'Design Length &amp; Width'!$AI$66</definedName>
    <definedName name="DesL250.01">#REF!</definedName>
    <definedName name="DesL250.02">#REF!</definedName>
    <definedName name="DesL250.03">#REF!</definedName>
    <definedName name="DesL250.04">#REF!</definedName>
    <definedName name="DesL250.05">#REF!</definedName>
    <definedName name="DesL250.06">#REF!</definedName>
    <definedName name="DesL250.1">'Design Length &amp; Width'!$AI$14</definedName>
    <definedName name="DesL250.2">'Design Length &amp; Width'!$AI$25</definedName>
    <definedName name="DesL250.3">'Design Length &amp; Width'!$AI$36</definedName>
    <definedName name="DesL250.4">'Design Length &amp; Width'!$AI$47</definedName>
    <definedName name="DesL250.5">'Design Length &amp; Width'!$AI$58</definedName>
    <definedName name="DesL250.6">'Design Length &amp; Width'!$AI$69</definedName>
    <definedName name="DesL50.01">#REF!</definedName>
    <definedName name="DesL50.02">#REF!</definedName>
    <definedName name="DesL50.03">#REF!</definedName>
    <definedName name="DesL50.04">#REF!</definedName>
    <definedName name="DesL50.05">#REF!</definedName>
    <definedName name="DesL50.06">#REF!</definedName>
    <definedName name="DesL50.1">'Design Length &amp; Width'!$AI$12</definedName>
    <definedName name="DesL50.2">'Design Length &amp; Width'!$AI$23</definedName>
    <definedName name="DesL50.3">'Design Length &amp; Width'!$AI$34</definedName>
    <definedName name="DesL50.4">'Design Length &amp; Width'!$AI$45</definedName>
    <definedName name="DesL50.5">'Design Length &amp; Width'!$AI$56</definedName>
    <definedName name="DesL50.6">'Design Length &amp; Width'!$AI$67</definedName>
    <definedName name="DesL75.1">'Design Length &amp; Width'!#REF!</definedName>
    <definedName name="DesL75.2">'Design Length &amp; Width'!#REF!</definedName>
    <definedName name="DesL75.3">'Design Length &amp; Width'!#REF!</definedName>
    <definedName name="DesL75.4">'Design Length &amp; Width'!#REF!</definedName>
    <definedName name="DesL75.5">'Design Length &amp; Width'!#REF!</definedName>
    <definedName name="DesL75.6">'Design Length &amp; Width'!#REF!</definedName>
    <definedName name="DesW100.01">#REF!</definedName>
    <definedName name="DesW100.02">#REF!</definedName>
    <definedName name="DesW100.03">#REF!</definedName>
    <definedName name="DesW100.04">#REF!</definedName>
    <definedName name="DesW100.05">#REF!</definedName>
    <definedName name="DesW100.06">#REF!</definedName>
    <definedName name="DesW100.1">'Design Length &amp; Width'!$AH$13</definedName>
    <definedName name="DesW100.2">'Design Length &amp; Width'!$AH$24</definedName>
    <definedName name="DesW100.3">'Design Length &amp; Width'!$AH$35</definedName>
    <definedName name="DesW100.4">'Design Length &amp; Width'!$AH$46</definedName>
    <definedName name="DesW100.5">'Design Length &amp; Width'!$AH$57</definedName>
    <definedName name="DesW100.6">'Design Length &amp; Width'!$AH$68</definedName>
    <definedName name="DesW1000.01">#REF!</definedName>
    <definedName name="DesW1000.02">#REF!</definedName>
    <definedName name="DesW1000.03">#REF!</definedName>
    <definedName name="DesW1000.04">#REF!</definedName>
    <definedName name="DesW1000.05">#REF!</definedName>
    <definedName name="DesW1000.06">#REF!</definedName>
    <definedName name="DesW1000.1">'Design Length &amp; Width'!$AH$15</definedName>
    <definedName name="DesW1000.2">'Design Length &amp; Width'!$AH$26</definedName>
    <definedName name="DesW1000.3">'Design Length &amp; Width'!$AH$37</definedName>
    <definedName name="DesW1000.4">'Design Length &amp; Width'!$AH$48</definedName>
    <definedName name="DesW1000.5">'Design Length &amp; Width'!$AH$59</definedName>
    <definedName name="DesW1000.6">'Design Length &amp; Width'!$AH$70</definedName>
    <definedName name="DesW25.01">#REF!</definedName>
    <definedName name="DesW25.02">#REF!</definedName>
    <definedName name="DesW25.03">#REF!</definedName>
    <definedName name="DesW25.04">#REF!</definedName>
    <definedName name="DesW25.05">#REF!</definedName>
    <definedName name="DesW25.06">#REF!</definedName>
    <definedName name="DesW25.1">'Design Length &amp; Width'!$AH$11</definedName>
    <definedName name="DesW25.2">'Design Length &amp; Width'!$AH$22</definedName>
    <definedName name="DesW25.3">'Design Length &amp; Width'!$AH$33</definedName>
    <definedName name="DesW25.4">'Design Length &amp; Width'!$AH$44</definedName>
    <definedName name="DesW25.5">'Design Length &amp; Width'!$AH$55</definedName>
    <definedName name="DesW25.6">'Design Length &amp; Width'!$AH$66</definedName>
    <definedName name="DesW250.01">#REF!</definedName>
    <definedName name="DesW250.02">#REF!</definedName>
    <definedName name="DesW250.03">#REF!</definedName>
    <definedName name="DesW250.04">#REF!</definedName>
    <definedName name="DesW250.05">#REF!</definedName>
    <definedName name="DesW250.06">#REF!</definedName>
    <definedName name="DesW250.1">'Design Length &amp; Width'!$AH$14</definedName>
    <definedName name="DesW250.2">'Design Length &amp; Width'!$AH$25</definedName>
    <definedName name="DesW250.3">'Design Length &amp; Width'!$AH$36</definedName>
    <definedName name="DesW250.4">'Design Length &amp; Width'!$AH$47</definedName>
    <definedName name="DesW250.5">'Design Length &amp; Width'!$AH$58</definedName>
    <definedName name="DesW250.6">'Design Length &amp; Width'!$AH$69</definedName>
    <definedName name="DesW50.01">#REF!</definedName>
    <definedName name="DesW50.02">#REF!</definedName>
    <definedName name="DesW50.03">#REF!</definedName>
    <definedName name="DesW50.04">#REF!</definedName>
    <definedName name="DesW50.05">#REF!</definedName>
    <definedName name="DesW50.06">#REF!</definedName>
    <definedName name="DesW50.1">'Design Length &amp; Width'!$AH$12</definedName>
    <definedName name="DesW50.2">'Design Length &amp; Width'!$AH$23</definedName>
    <definedName name="DesW50.3">'Design Length &amp; Width'!$AH$34</definedName>
    <definedName name="DesW50.4">'Design Length &amp; Width'!$AH$45</definedName>
    <definedName name="DesW50.5">'Design Length &amp; Width'!$AH$56</definedName>
    <definedName name="DesW50.6">'Design Length &amp; Width'!$AH$67</definedName>
    <definedName name="DesW75.1">'Design Length &amp; Width'!#REF!</definedName>
    <definedName name="DesW75.2">'Design Length &amp; Width'!#REF!</definedName>
    <definedName name="DesW75.3">'Design Length &amp; Width'!#REF!</definedName>
    <definedName name="DesW75.4">'Design Length &amp; Width'!#REF!</definedName>
    <definedName name="DesW75.5">'Design Length &amp; Width'!#REF!</definedName>
    <definedName name="DesW75.6">'Design Length &amp; Width'!#REF!</definedName>
    <definedName name="Min1000.5">'Design Length &amp; Width'!$AG$59</definedName>
    <definedName name="MinL100.01">#REF!</definedName>
    <definedName name="MinL100.02">#REF!</definedName>
    <definedName name="MinL100.03">#REF!</definedName>
    <definedName name="MinL100.04">#REF!</definedName>
    <definedName name="MinL100.05">#REF!</definedName>
    <definedName name="MinL100.06">#REF!</definedName>
    <definedName name="MinL100.1">'Design Length &amp; Width'!$AG$13</definedName>
    <definedName name="MinL100.2">'Design Length &amp; Width'!$AG$24</definedName>
    <definedName name="MinL100.3">'Design Length &amp; Width'!$AG$35</definedName>
    <definedName name="MinL100.4">'Design Length &amp; Width'!$AG$46</definedName>
    <definedName name="MinL100.5">'Design Length &amp; Width'!$AG$57</definedName>
    <definedName name="MinL100.6">'Design Length &amp; Width'!$AG$68</definedName>
    <definedName name="MinL1000.01">#REF!</definedName>
    <definedName name="MinL1000.02">#REF!</definedName>
    <definedName name="MinL1000.03">#REF!</definedName>
    <definedName name="MinL1000.04">#REF!</definedName>
    <definedName name="MinL1000.05">#REF!</definedName>
    <definedName name="MinL1000.06">#REF!</definedName>
    <definedName name="MinL1000.1">'Design Length &amp; Width'!$AG$15</definedName>
    <definedName name="MinL1000.2">'Design Length &amp; Width'!$AG$26</definedName>
    <definedName name="MinL1000.3">'Design Length &amp; Width'!$AG$37</definedName>
    <definedName name="MinL1000.4">'Design Length &amp; Width'!$AG$48</definedName>
    <definedName name="MinL1000.6">'Design Length &amp; Width'!$AG$70</definedName>
    <definedName name="MinL25.01">#REF!</definedName>
    <definedName name="MinL25.02">#REF!</definedName>
    <definedName name="MinL25.03">#REF!</definedName>
    <definedName name="MinL25.04">#REF!</definedName>
    <definedName name="MinL25.05">#REF!</definedName>
    <definedName name="MinL25.06">#REF!</definedName>
    <definedName name="MinL25.1">'Design Length &amp; Width'!$AG$11</definedName>
    <definedName name="MinL25.2">'Design Length &amp; Width'!$AG$22</definedName>
    <definedName name="MinL25.3">'Design Length &amp; Width'!$AG$33</definedName>
    <definedName name="MinL25.4">'Design Length &amp; Width'!$AG$44</definedName>
    <definedName name="MinL25.5">'Design Length &amp; Width'!$AG$55</definedName>
    <definedName name="MinL25.6">'Design Length &amp; Width'!$AG$66</definedName>
    <definedName name="MinL250.01">#REF!</definedName>
    <definedName name="MinL250.02">#REF!</definedName>
    <definedName name="MinL250.03">#REF!</definedName>
    <definedName name="MinL250.04">#REF!</definedName>
    <definedName name="MinL250.05">#REF!</definedName>
    <definedName name="MinL250.06">#REF!</definedName>
    <definedName name="MinL250.1">'Design Length &amp; Width'!$AG$14</definedName>
    <definedName name="MinL250.2">'Design Length &amp; Width'!$AG$25</definedName>
    <definedName name="MinL250.3">'Design Length &amp; Width'!$AG$36</definedName>
    <definedName name="MinL250.4">'Design Length &amp; Width'!$AG$47</definedName>
    <definedName name="MinL250.5">'Design Length &amp; Width'!$AG$58</definedName>
    <definedName name="MinL250.6">'Design Length &amp; Width'!$AG$69</definedName>
    <definedName name="MinL50.01">#REF!</definedName>
    <definedName name="MinL50.02">#REF!</definedName>
    <definedName name="MinL50.03">#REF!</definedName>
    <definedName name="MinL50.04">#REF!</definedName>
    <definedName name="MinL50.05">#REF!</definedName>
    <definedName name="MinL50.06">#REF!</definedName>
    <definedName name="MinL50.1">'Design Length &amp; Width'!$AG$12</definedName>
    <definedName name="MinL50.2">'Design Length &amp; Width'!$AG$23</definedName>
    <definedName name="MinL50.3">'Design Length &amp; Width'!$AG$34</definedName>
    <definedName name="MinL50.4">'Design Length &amp; Width'!$AG$45</definedName>
    <definedName name="MinL50.5">'Design Length &amp; Width'!$AG$56</definedName>
    <definedName name="MinL50.6">'Design Length &amp; Width'!$AG$67</definedName>
    <definedName name="MinL75.1">'Design Length &amp; Width'!#REF!</definedName>
    <definedName name="MinL75.2">'Design Length &amp; Width'!#REF!</definedName>
    <definedName name="MinL75.3">'Design Length &amp; Width'!#REF!</definedName>
    <definedName name="MinL75.4">'Design Length &amp; Width'!#REF!</definedName>
    <definedName name="MinL75.5">'Design Length &amp; Width'!#REF!</definedName>
    <definedName name="MinL75.6">'Design Length &amp; Width'!#REF!</definedName>
    <definedName name="MinW100.01">#REF!</definedName>
    <definedName name="MinW100.02">#REF!</definedName>
    <definedName name="MinW100.03">#REF!</definedName>
    <definedName name="MinW100.05">#REF!</definedName>
    <definedName name="MinW100.06">#REF!</definedName>
    <definedName name="MinW100.1">'Design Length &amp; Width'!$AF$13</definedName>
    <definedName name="MinW100.2">'Design Length &amp; Width'!$AF$24</definedName>
    <definedName name="MinW100.3">'Design Length &amp; Width'!$AF$35</definedName>
    <definedName name="MinW100.4">'Design Length &amp; Width'!$AF$46</definedName>
    <definedName name="MinW100.5">'Design Length &amp; Width'!$AF$57</definedName>
    <definedName name="MinW100.6">'Design Length &amp; Width'!$AF$68</definedName>
    <definedName name="MinW100.o4">#REF!</definedName>
    <definedName name="MinW1000.01">#REF!</definedName>
    <definedName name="MinW1000.02">#REF!</definedName>
    <definedName name="MinW1000.03">#REF!</definedName>
    <definedName name="MinW1000.04">#REF!</definedName>
    <definedName name="MinW1000.05">#REF!</definedName>
    <definedName name="MinW1000.06">#REF!</definedName>
    <definedName name="MinW1000.1">'Design Length &amp; Width'!$AF$15</definedName>
    <definedName name="MinW1000.2">'Design Length &amp; Width'!$AF$26</definedName>
    <definedName name="MinW1000.3">'Design Length &amp; Width'!$AF$37</definedName>
    <definedName name="MinW1000.4">'Design Length &amp; Width'!$AF$48</definedName>
    <definedName name="MinW1000.5">'Design Length &amp; Width'!$AF$59</definedName>
    <definedName name="MinW1000.6">'Design Length &amp; Width'!$AF$70</definedName>
    <definedName name="MinW25.01">#REF!</definedName>
    <definedName name="MinW25.02">#REF!</definedName>
    <definedName name="MinW25.03">#REF!</definedName>
    <definedName name="MinW25.04">#REF!</definedName>
    <definedName name="MinW25.05">#REF!</definedName>
    <definedName name="MinW25.06">#REF!</definedName>
    <definedName name="MinW25.1">'Design Length &amp; Width'!$AF$11</definedName>
    <definedName name="MinW25.2">'Design Length &amp; Width'!$AF$22</definedName>
    <definedName name="MinW25.3">'Design Length &amp; Width'!$AF$33</definedName>
    <definedName name="MinW25.4">'Design Length &amp; Width'!$AF$44</definedName>
    <definedName name="MinW25.5">'Design Length &amp; Width'!$AF$55</definedName>
    <definedName name="MinW25.6">'Design Length &amp; Width'!$AF$66</definedName>
    <definedName name="MinW250.01">#REF!</definedName>
    <definedName name="MinW250.02">#REF!</definedName>
    <definedName name="MinW250.03">#REF!</definedName>
    <definedName name="MinW250.04">#REF!</definedName>
    <definedName name="MinW250.05">#REF!</definedName>
    <definedName name="MinW250.06">#REF!</definedName>
    <definedName name="MinW250.1">'Design Length &amp; Width'!$AF$14</definedName>
    <definedName name="MinW250.2">'Design Length &amp; Width'!$AF$25</definedName>
    <definedName name="MinW250.3">'Design Length &amp; Width'!$AF$36</definedName>
    <definedName name="MinW250.4">'Design Length &amp; Width'!$AF$47</definedName>
    <definedName name="MinW250.5">'Design Length &amp; Width'!$AF$58</definedName>
    <definedName name="MinW250.6">'Design Length &amp; Width'!$AF$69</definedName>
    <definedName name="MinW50.01">#REF!</definedName>
    <definedName name="MinW50.02">#REF!</definedName>
    <definedName name="MinW50.03">#REF!</definedName>
    <definedName name="MinW50.04">#REF!</definedName>
    <definedName name="MinW50.05">#REF!</definedName>
    <definedName name="MinW50.06">#REF!</definedName>
    <definedName name="MinW50.1">'Design Length &amp; Width'!$AF$12</definedName>
    <definedName name="MinW50.2">'Design Length &amp; Width'!$AF$23</definedName>
    <definedName name="MinW50.3">'Design Length &amp; Width'!$AF$34</definedName>
    <definedName name="MinW50.4">'Design Length &amp; Width'!$AF$45</definedName>
    <definedName name="MinW50.5">'Design Length &amp; Width'!$AF$56</definedName>
    <definedName name="MinW50.6">'Design Length &amp; Width'!$AF$67</definedName>
    <definedName name="MinW75.1">'Design Length &amp; Width'!#REF!</definedName>
    <definedName name="MinW75.2">'Design Length &amp; Width'!#REF!</definedName>
    <definedName name="MinW75.3">'Design Length &amp; Width'!#REF!</definedName>
    <definedName name="MinW75.4">'Design Length &amp; Width'!#REF!</definedName>
    <definedName name="MinW75.5">'Design Length &amp; Width'!#REF!</definedName>
    <definedName name="MinW75.6">'Design Length &amp; Width'!#REF!</definedName>
    <definedName name="PD01">#REF!</definedName>
    <definedName name="PD02">#REF!</definedName>
    <definedName name="PD03">#REF!</definedName>
    <definedName name="PD04">#REF!</definedName>
    <definedName name="PD05">#REF!</definedName>
    <definedName name="PD06">#REF!</definedName>
    <definedName name="PD1">'Design Length &amp; Width'!$C$12</definedName>
    <definedName name="PD2">'Design Length &amp; Width'!$F$12</definedName>
    <definedName name="PD3">'Design Length &amp; Width'!$I$12</definedName>
    <definedName name="PD4">'Design Length &amp; Width'!$L$12</definedName>
    <definedName name="PD5">'Design Length &amp; Width'!$O$12</definedName>
    <definedName name="PD6">'Design Length &amp; Width'!$R$12</definedName>
    <definedName name="_xlnm.Print_Area" localSheetId="1">'Design Length &amp; Width'!$A$1:$T$55</definedName>
    <definedName name="_xlnm.Print_Area" localSheetId="0">'Design Res &amp; Power &amp; Tol &amp; Etch'!$A$1:$T$54</definedName>
    <definedName name="_xlnm.Print_Area" localSheetId="3">'Design Resistance &amp; Length'!$A$1:$T$45</definedName>
    <definedName name="_xlnm.Print_Area" localSheetId="2">'Design Resistance &amp; Width'!$A$1:$T$45</definedName>
    <definedName name="RES01">#REF!</definedName>
    <definedName name="RES02">#REF!</definedName>
    <definedName name="RES03">#REF!</definedName>
    <definedName name="RES04">#REF!</definedName>
    <definedName name="RES05">#REF!</definedName>
    <definedName name="RES06">#REF!</definedName>
    <definedName name="RES1">'Design Length &amp; Width'!$C$11</definedName>
    <definedName name="RES2">'Design Length &amp; Width'!$F$11</definedName>
    <definedName name="RES3">'Design Length &amp; Width'!$I$11</definedName>
    <definedName name="RES4">'Design Length &amp; Width'!$L$11</definedName>
    <definedName name="RES5">'Design Length &amp; Width'!$O$11</definedName>
    <definedName name="RES6">'Design Length &amp; Width'!$R$11</definedName>
    <definedName name="Squ100.01">#REF!</definedName>
    <definedName name="Squ100.02">#REF!</definedName>
    <definedName name="Squ100.03">#REF!</definedName>
    <definedName name="Squ100.04">#REF!</definedName>
    <definedName name="Squ100.05">#REF!</definedName>
    <definedName name="Squ100.06">#REF!</definedName>
    <definedName name="Squ100.1">'Design Length &amp; Width'!$AE$13</definedName>
    <definedName name="Squ100.2">'Design Length &amp; Width'!$AE$24</definedName>
    <definedName name="Squ100.3">'Design Length &amp; Width'!$AE$35</definedName>
    <definedName name="Squ100.4">'Design Length &amp; Width'!$AE$46</definedName>
    <definedName name="Squ100.5">'Design Length &amp; Width'!$AE$57</definedName>
    <definedName name="Squ100.6">'Design Length &amp; Width'!$AE$68</definedName>
    <definedName name="Squ1000.01">#REF!</definedName>
    <definedName name="Squ1000.02">#REF!</definedName>
    <definedName name="Squ1000.03">#REF!</definedName>
    <definedName name="Squ1000.04">#REF!</definedName>
    <definedName name="Squ1000.05">#REF!</definedName>
    <definedName name="Squ1000.06">#REF!</definedName>
    <definedName name="Squ1000.1">'Design Length &amp; Width'!$AE$15</definedName>
    <definedName name="Squ1000.2">'Design Length &amp; Width'!$AE$26</definedName>
    <definedName name="Squ1000.3">'Design Length &amp; Width'!$AE$37</definedName>
    <definedName name="Squ1000.4">'Design Length &amp; Width'!$AE$48</definedName>
    <definedName name="Squ1000.5">'Design Length &amp; Width'!$AE$59</definedName>
    <definedName name="Squ1000.6">'Design Length &amp; Width'!$AE$70</definedName>
    <definedName name="Squ25.01">#REF!</definedName>
    <definedName name="Squ25.02">#REF!</definedName>
    <definedName name="Squ25.03">#REF!</definedName>
    <definedName name="Squ25.04">#REF!</definedName>
    <definedName name="Squ25.05">#REF!</definedName>
    <definedName name="Squ25.06">#REF!</definedName>
    <definedName name="Squ25.1">'Design Length &amp; Width'!$AE$11</definedName>
    <definedName name="Squ25.2">'Design Length &amp; Width'!$AE$22</definedName>
    <definedName name="Squ25.3">'Design Length &amp; Width'!$AE$33</definedName>
    <definedName name="Squ25.4">'Design Length &amp; Width'!$AE$44</definedName>
    <definedName name="Squ25.5">'Design Length &amp; Width'!$AE$55</definedName>
    <definedName name="Squ25.6">'Design Length &amp; Width'!$AE$66</definedName>
    <definedName name="Squ250.01">#REF!</definedName>
    <definedName name="Squ250.02">#REF!</definedName>
    <definedName name="Squ250.03">#REF!</definedName>
    <definedName name="Squ250.04">#REF!</definedName>
    <definedName name="Squ250.05">#REF!</definedName>
    <definedName name="Squ250.06">#REF!</definedName>
    <definedName name="Squ250.1">'Design Length &amp; Width'!$AE$14</definedName>
    <definedName name="Squ250.2">'Design Length &amp; Width'!$AE$25</definedName>
    <definedName name="Squ250.3">'Design Length &amp; Width'!$AE$36</definedName>
    <definedName name="Squ250.4">'Design Length &amp; Width'!$AE$47</definedName>
    <definedName name="Squ250.5">'Design Length &amp; Width'!$AE$58</definedName>
    <definedName name="Squ250.6">'Design Length &amp; Width'!$AE$69</definedName>
    <definedName name="Squ50.01">#REF!</definedName>
    <definedName name="Squ50.02">#REF!</definedName>
    <definedName name="Squ50.03">#REF!</definedName>
    <definedName name="Squ50.04">#REF!</definedName>
    <definedName name="Squ50.05">#REF!</definedName>
    <definedName name="Squ50.06">#REF!</definedName>
    <definedName name="Squ50.1">'Design Length &amp; Width'!$AE$12</definedName>
    <definedName name="Squ50.2">'Design Length &amp; Width'!$AE$23</definedName>
    <definedName name="Squ50.3">'Design Length &amp; Width'!$AE$34</definedName>
    <definedName name="Squ50.4">'Design Length &amp; Width'!$AE$45</definedName>
    <definedName name="Squ50.5">'Design Length &amp; Width'!$AE$56</definedName>
    <definedName name="Squ50.6">'Design Length &amp; Width'!$AE$67</definedName>
    <definedName name="Squ75.1">'Design Length &amp; Width'!#REF!</definedName>
    <definedName name="Squ75.2">'Design Length &amp; Width'!#REF!</definedName>
    <definedName name="Squ75.3">'Design Length &amp; Width'!#REF!</definedName>
    <definedName name="Squ75.4">'Design Length &amp; Width'!#REF!</definedName>
    <definedName name="Squ75.5">'Design Length &amp; Width'!#REF!</definedName>
    <definedName name="Squ75.6">'Design Length &amp; Width'!#REF!</definedName>
    <definedName name="TOL01">#REF!</definedName>
    <definedName name="TOL02">#REF!</definedName>
    <definedName name="TOL03">#REF!</definedName>
    <definedName name="TOL04">#REF!</definedName>
    <definedName name="TOL05">#REF!</definedName>
    <definedName name="TOL06">#REF!</definedName>
    <definedName name="TOL1">'Design Length &amp; Width'!$C$13</definedName>
    <definedName name="TOL2">'Design Length &amp; Width'!$F$13</definedName>
    <definedName name="TOL3">'Design Length &amp; Width'!$I$13</definedName>
    <definedName name="TOL4">'Design Length &amp; Width'!$L$13</definedName>
    <definedName name="TOL5">'Design Length &amp; Width'!$O$13</definedName>
    <definedName name="TOL6">'Design Length &amp; Width'!$R$13</definedName>
  </definedNames>
  <calcPr fullCalcOnLoad="1"/>
</workbook>
</file>

<file path=xl/comments1.xml><?xml version="1.0" encoding="utf-8"?>
<comments xmlns="http://schemas.openxmlformats.org/spreadsheetml/2006/main">
  <authors>
    <author>Rocky Hilburn</author>
  </authors>
  <commentList>
    <comment ref="AJ8" authorId="0">
      <text>
        <r>
          <rPr>
            <b/>
            <sz val="11"/>
            <rFont val="Tahoma"/>
            <family val="0"/>
          </rPr>
          <t>Rocky Hilburn:</t>
        </r>
        <r>
          <rPr>
            <sz val="11"/>
            <rFont val="Tahoma"/>
            <family val="0"/>
          </rPr>
          <t xml:space="preserve">
Based on Power</t>
        </r>
      </text>
    </comment>
  </commentList>
</comments>
</file>

<file path=xl/sharedStrings.xml><?xml version="1.0" encoding="utf-8"?>
<sst xmlns="http://schemas.openxmlformats.org/spreadsheetml/2006/main" count="1154" uniqueCount="145">
  <si>
    <t>R1</t>
  </si>
  <si>
    <t>R2</t>
  </si>
  <si>
    <t>R3</t>
  </si>
  <si>
    <t>R4</t>
  </si>
  <si>
    <t>R5</t>
  </si>
  <si>
    <t>R6</t>
  </si>
  <si>
    <t>Table 1</t>
  </si>
  <si>
    <t>Sheet Resistivity</t>
  </si>
  <si>
    <t>Table 2</t>
  </si>
  <si>
    <r>
      <t>R</t>
    </r>
    <r>
      <rPr>
        <b/>
        <i/>
        <vertAlign val="subscript"/>
        <sz val="10"/>
        <rFont val="Arial"/>
        <family val="2"/>
      </rPr>
      <t>1</t>
    </r>
  </si>
  <si>
    <r>
      <t>R</t>
    </r>
    <r>
      <rPr>
        <b/>
        <i/>
        <vertAlign val="subscript"/>
        <sz val="10"/>
        <rFont val="Arial"/>
        <family val="2"/>
      </rPr>
      <t>2</t>
    </r>
  </si>
  <si>
    <r>
      <t>R</t>
    </r>
    <r>
      <rPr>
        <b/>
        <i/>
        <vertAlign val="subscript"/>
        <sz val="10"/>
        <rFont val="Arial"/>
        <family val="2"/>
      </rPr>
      <t>3</t>
    </r>
  </si>
  <si>
    <r>
      <t>R</t>
    </r>
    <r>
      <rPr>
        <b/>
        <i/>
        <vertAlign val="subscript"/>
        <sz val="10"/>
        <rFont val="Arial"/>
        <family val="2"/>
      </rPr>
      <t>4</t>
    </r>
  </si>
  <si>
    <r>
      <t>R</t>
    </r>
    <r>
      <rPr>
        <b/>
        <i/>
        <vertAlign val="subscript"/>
        <sz val="10"/>
        <rFont val="Arial"/>
        <family val="2"/>
      </rPr>
      <t>5</t>
    </r>
  </si>
  <si>
    <r>
      <t>R</t>
    </r>
    <r>
      <rPr>
        <b/>
        <i/>
        <vertAlign val="subscript"/>
        <sz val="10"/>
        <rFont val="Arial"/>
        <family val="2"/>
      </rPr>
      <t>6</t>
    </r>
  </si>
  <si>
    <t>Table 3</t>
  </si>
  <si>
    <t>Step 3:  Resistor patterns are configured to optimize the footprint of the resistor</t>
  </si>
  <si>
    <t>Rs</t>
  </si>
  <si>
    <r>
      <t>P</t>
    </r>
    <r>
      <rPr>
        <b/>
        <vertAlign val="subscript"/>
        <sz val="10"/>
        <rFont val="Arial"/>
        <family val="2"/>
      </rPr>
      <t>R</t>
    </r>
  </si>
  <si>
    <r>
      <t>T</t>
    </r>
    <r>
      <rPr>
        <b/>
        <vertAlign val="subscript"/>
        <sz val="10"/>
        <rFont val="Arial"/>
        <family val="2"/>
      </rPr>
      <t>T</t>
    </r>
  </si>
  <si>
    <t>Selection</t>
  </si>
  <si>
    <t>Sheet</t>
  </si>
  <si>
    <t>Power</t>
  </si>
  <si>
    <t>Number of</t>
  </si>
  <si>
    <t>Design</t>
  </si>
  <si>
    <t>Total</t>
  </si>
  <si>
    <t>Rating</t>
  </si>
  <si>
    <t>Square</t>
  </si>
  <si>
    <t>Width</t>
  </si>
  <si>
    <t>Length</t>
  </si>
  <si>
    <t>Tolerance</t>
  </si>
  <si>
    <t>Ohm/Sq.</t>
  </si>
  <si>
    <t>%</t>
  </si>
  <si>
    <r>
      <t>R</t>
    </r>
    <r>
      <rPr>
        <sz val="10"/>
        <rFont val="Arial"/>
        <family val="2"/>
      </rPr>
      <t>s</t>
    </r>
  </si>
  <si>
    <t>A</t>
  </si>
  <si>
    <t>Resistivity</t>
  </si>
  <si>
    <t>Resistor Area</t>
  </si>
  <si>
    <t>n</t>
  </si>
  <si>
    <t>DesW</t>
  </si>
  <si>
    <t>DesL</t>
  </si>
  <si>
    <t>Res</t>
  </si>
  <si>
    <t>Resistor</t>
  </si>
  <si>
    <t>Value</t>
  </si>
  <si>
    <t>ohms</t>
  </si>
  <si>
    <t>PowD</t>
  </si>
  <si>
    <t>Dissipation</t>
  </si>
  <si>
    <t>mWatts</t>
  </si>
  <si>
    <t>Ohms</t>
  </si>
  <si>
    <r>
      <t>PD</t>
    </r>
    <r>
      <rPr>
        <b/>
        <i/>
        <vertAlign val="subscript"/>
        <sz val="10"/>
        <rFont val="Arial"/>
        <family val="2"/>
      </rPr>
      <t>1</t>
    </r>
  </si>
  <si>
    <t>mW</t>
  </si>
  <si>
    <r>
      <t>Res</t>
    </r>
    <r>
      <rPr>
        <b/>
        <i/>
        <vertAlign val="subscript"/>
        <sz val="10"/>
        <rFont val="Arial"/>
        <family val="2"/>
      </rPr>
      <t>1</t>
    </r>
  </si>
  <si>
    <r>
      <t>Res</t>
    </r>
    <r>
      <rPr>
        <b/>
        <i/>
        <vertAlign val="subscript"/>
        <sz val="10"/>
        <rFont val="Arial"/>
        <family val="2"/>
      </rPr>
      <t>2</t>
    </r>
  </si>
  <si>
    <r>
      <t>PD</t>
    </r>
    <r>
      <rPr>
        <b/>
        <i/>
        <vertAlign val="subscript"/>
        <sz val="10"/>
        <rFont val="Arial"/>
        <family val="2"/>
      </rPr>
      <t>2</t>
    </r>
  </si>
  <si>
    <r>
      <t>Res</t>
    </r>
    <r>
      <rPr>
        <b/>
        <i/>
        <vertAlign val="subscript"/>
        <sz val="10"/>
        <rFont val="Arial"/>
        <family val="2"/>
      </rPr>
      <t>3</t>
    </r>
  </si>
  <si>
    <r>
      <t>PD</t>
    </r>
    <r>
      <rPr>
        <b/>
        <i/>
        <vertAlign val="subscript"/>
        <sz val="10"/>
        <rFont val="Arial"/>
        <family val="2"/>
      </rPr>
      <t>3</t>
    </r>
  </si>
  <si>
    <r>
      <t>Res</t>
    </r>
    <r>
      <rPr>
        <b/>
        <i/>
        <vertAlign val="subscript"/>
        <sz val="10"/>
        <rFont val="Arial"/>
        <family val="2"/>
      </rPr>
      <t>4</t>
    </r>
  </si>
  <si>
    <r>
      <t>PD</t>
    </r>
    <r>
      <rPr>
        <b/>
        <i/>
        <vertAlign val="subscript"/>
        <sz val="10"/>
        <rFont val="Arial"/>
        <family val="2"/>
      </rPr>
      <t>4</t>
    </r>
  </si>
  <si>
    <r>
      <t>Res</t>
    </r>
    <r>
      <rPr>
        <b/>
        <i/>
        <vertAlign val="subscript"/>
        <sz val="10"/>
        <rFont val="Arial"/>
        <family val="2"/>
      </rPr>
      <t>5</t>
    </r>
  </si>
  <si>
    <r>
      <t>PD</t>
    </r>
    <r>
      <rPr>
        <b/>
        <i/>
        <vertAlign val="subscript"/>
        <sz val="10"/>
        <rFont val="Arial"/>
        <family val="2"/>
      </rPr>
      <t>5</t>
    </r>
  </si>
  <si>
    <r>
      <t>Res</t>
    </r>
    <r>
      <rPr>
        <b/>
        <i/>
        <vertAlign val="subscript"/>
        <sz val="10"/>
        <rFont val="Arial"/>
        <family val="2"/>
      </rPr>
      <t>6</t>
    </r>
  </si>
  <si>
    <r>
      <t>PD</t>
    </r>
    <r>
      <rPr>
        <b/>
        <i/>
        <vertAlign val="subscript"/>
        <sz val="10"/>
        <rFont val="Arial"/>
        <family val="2"/>
      </rPr>
      <t>6</t>
    </r>
  </si>
  <si>
    <t xml:space="preserve">             based on sheet resistivity, resistor length and width.</t>
  </si>
  <si>
    <t xml:space="preserve">             Review for acceptability for each sheet resistivity against applicable design rules.</t>
  </si>
  <si>
    <r>
      <t xml:space="preserve">Step 1:  For each resistor enter the required resistance </t>
    </r>
    <r>
      <rPr>
        <b/>
        <i/>
        <sz val="10"/>
        <rFont val="Arial"/>
        <family val="2"/>
      </rPr>
      <t>(R)</t>
    </r>
    <r>
      <rPr>
        <sz val="10"/>
        <rFont val="Arial"/>
        <family val="0"/>
      </rPr>
      <t xml:space="preserve"> in ohms, </t>
    </r>
  </si>
  <si>
    <t>Resistance (ohms)</t>
  </si>
  <si>
    <t>Lmax</t>
  </si>
  <si>
    <r>
      <t>Len</t>
    </r>
    <r>
      <rPr>
        <b/>
        <i/>
        <vertAlign val="subscript"/>
        <sz val="10"/>
        <rFont val="Arial"/>
        <family val="2"/>
      </rPr>
      <t>1</t>
    </r>
  </si>
  <si>
    <r>
      <t>Len</t>
    </r>
    <r>
      <rPr>
        <b/>
        <i/>
        <vertAlign val="subscript"/>
        <sz val="10"/>
        <rFont val="Arial"/>
        <family val="2"/>
      </rPr>
      <t>2</t>
    </r>
  </si>
  <si>
    <r>
      <t>Len</t>
    </r>
    <r>
      <rPr>
        <b/>
        <i/>
        <vertAlign val="subscript"/>
        <sz val="10"/>
        <rFont val="Arial"/>
        <family val="2"/>
      </rPr>
      <t>3</t>
    </r>
  </si>
  <si>
    <r>
      <t>Len</t>
    </r>
    <r>
      <rPr>
        <b/>
        <i/>
        <vertAlign val="subscript"/>
        <sz val="10"/>
        <rFont val="Arial"/>
        <family val="2"/>
      </rPr>
      <t>4</t>
    </r>
  </si>
  <si>
    <r>
      <t>Len</t>
    </r>
    <r>
      <rPr>
        <b/>
        <i/>
        <vertAlign val="subscript"/>
        <sz val="10"/>
        <rFont val="Arial"/>
        <family val="2"/>
      </rPr>
      <t>5</t>
    </r>
  </si>
  <si>
    <r>
      <t>Len</t>
    </r>
    <r>
      <rPr>
        <b/>
        <i/>
        <vertAlign val="subscript"/>
        <sz val="10"/>
        <rFont val="Arial"/>
        <family val="2"/>
      </rPr>
      <t>6</t>
    </r>
  </si>
  <si>
    <r>
      <t>Wid</t>
    </r>
    <r>
      <rPr>
        <b/>
        <i/>
        <vertAlign val="subscript"/>
        <sz val="10"/>
        <rFont val="Arial"/>
        <family val="2"/>
      </rPr>
      <t>1</t>
    </r>
  </si>
  <si>
    <r>
      <t>Wid</t>
    </r>
    <r>
      <rPr>
        <b/>
        <i/>
        <vertAlign val="subscript"/>
        <sz val="10"/>
        <rFont val="Arial"/>
        <family val="2"/>
      </rPr>
      <t>2</t>
    </r>
  </si>
  <si>
    <r>
      <t>Wid</t>
    </r>
    <r>
      <rPr>
        <b/>
        <i/>
        <vertAlign val="subscript"/>
        <sz val="10"/>
        <rFont val="Arial"/>
        <family val="2"/>
      </rPr>
      <t>3</t>
    </r>
  </si>
  <si>
    <r>
      <t>Wid</t>
    </r>
    <r>
      <rPr>
        <b/>
        <i/>
        <vertAlign val="subscript"/>
        <sz val="10"/>
        <rFont val="Arial"/>
        <family val="2"/>
      </rPr>
      <t>4</t>
    </r>
  </si>
  <si>
    <r>
      <t>Wid</t>
    </r>
    <r>
      <rPr>
        <b/>
        <i/>
        <vertAlign val="subscript"/>
        <sz val="10"/>
        <rFont val="Arial"/>
        <family val="2"/>
      </rPr>
      <t>5</t>
    </r>
  </si>
  <si>
    <r>
      <t>Wid</t>
    </r>
    <r>
      <rPr>
        <b/>
        <i/>
        <vertAlign val="subscript"/>
        <sz val="10"/>
        <rFont val="Arial"/>
        <family val="2"/>
      </rPr>
      <t>6</t>
    </r>
  </si>
  <si>
    <t>Wmax</t>
  </si>
  <si>
    <t>MinW</t>
  </si>
  <si>
    <t>MinL</t>
  </si>
  <si>
    <t>Minimum</t>
  </si>
  <si>
    <t>Resistor Value (Ohms)</t>
  </si>
  <si>
    <t>Power Dissipation (mWatts)</t>
  </si>
  <si>
    <t>Tolerance (%)</t>
  </si>
  <si>
    <t>Review for acceptability for each sheet resistivity against design rules</t>
  </si>
  <si>
    <r>
      <t>W</t>
    </r>
    <r>
      <rPr>
        <b/>
        <i/>
        <vertAlign val="subscript"/>
        <sz val="10"/>
        <rFont val="Arial"/>
        <family val="2"/>
      </rPr>
      <t>1</t>
    </r>
  </si>
  <si>
    <r>
      <t>L</t>
    </r>
    <r>
      <rPr>
        <b/>
        <i/>
        <vertAlign val="subscript"/>
        <sz val="10"/>
        <rFont val="Arial"/>
        <family val="2"/>
      </rPr>
      <t>1</t>
    </r>
  </si>
  <si>
    <r>
      <t>W</t>
    </r>
    <r>
      <rPr>
        <b/>
        <i/>
        <vertAlign val="subscript"/>
        <sz val="10"/>
        <rFont val="Arial"/>
        <family val="2"/>
      </rPr>
      <t>2</t>
    </r>
  </si>
  <si>
    <r>
      <t>L</t>
    </r>
    <r>
      <rPr>
        <b/>
        <i/>
        <vertAlign val="subscript"/>
        <sz val="10"/>
        <rFont val="Arial"/>
        <family val="2"/>
      </rPr>
      <t>2</t>
    </r>
  </si>
  <si>
    <r>
      <t>W</t>
    </r>
    <r>
      <rPr>
        <b/>
        <i/>
        <vertAlign val="subscript"/>
        <sz val="10"/>
        <rFont val="Arial"/>
        <family val="2"/>
      </rPr>
      <t>3</t>
    </r>
  </si>
  <si>
    <r>
      <t>L</t>
    </r>
    <r>
      <rPr>
        <b/>
        <i/>
        <vertAlign val="subscript"/>
        <sz val="10"/>
        <rFont val="Arial"/>
        <family val="2"/>
      </rPr>
      <t>3</t>
    </r>
  </si>
  <si>
    <r>
      <t>W</t>
    </r>
    <r>
      <rPr>
        <b/>
        <i/>
        <vertAlign val="subscript"/>
        <sz val="10"/>
        <rFont val="Arial"/>
        <family val="2"/>
      </rPr>
      <t>4</t>
    </r>
  </si>
  <si>
    <r>
      <t>L</t>
    </r>
    <r>
      <rPr>
        <b/>
        <i/>
        <vertAlign val="subscript"/>
        <sz val="10"/>
        <rFont val="Arial"/>
        <family val="2"/>
      </rPr>
      <t>4</t>
    </r>
  </si>
  <si>
    <r>
      <t>W</t>
    </r>
    <r>
      <rPr>
        <b/>
        <i/>
        <vertAlign val="subscript"/>
        <sz val="10"/>
        <rFont val="Arial"/>
        <family val="2"/>
      </rPr>
      <t>5</t>
    </r>
  </si>
  <si>
    <r>
      <t>L</t>
    </r>
    <r>
      <rPr>
        <b/>
        <i/>
        <vertAlign val="subscript"/>
        <sz val="10"/>
        <rFont val="Arial"/>
        <family val="2"/>
      </rPr>
      <t>5</t>
    </r>
  </si>
  <si>
    <r>
      <t>W</t>
    </r>
    <r>
      <rPr>
        <b/>
        <i/>
        <vertAlign val="subscript"/>
        <sz val="10"/>
        <rFont val="Arial"/>
        <family val="2"/>
      </rPr>
      <t>6</t>
    </r>
  </si>
  <si>
    <r>
      <t>L</t>
    </r>
    <r>
      <rPr>
        <b/>
        <i/>
        <vertAlign val="subscript"/>
        <sz val="10"/>
        <rFont val="Arial"/>
        <family val="2"/>
      </rPr>
      <t>6</t>
    </r>
  </si>
  <si>
    <r>
      <t xml:space="preserve">*L and W are constrained by power dissipation </t>
    </r>
    <r>
      <rPr>
        <b/>
        <i/>
        <sz val="9"/>
        <rFont val="Arial"/>
        <family val="2"/>
      </rPr>
      <t>(P)</t>
    </r>
    <r>
      <rPr>
        <sz val="9"/>
        <rFont val="Arial"/>
        <family val="2"/>
      </rPr>
      <t xml:space="preserve"> or tolerance</t>
    </r>
    <r>
      <rPr>
        <b/>
        <i/>
        <sz val="9"/>
        <rFont val="Arial"/>
        <family val="2"/>
      </rPr>
      <t xml:space="preserve"> (t)</t>
    </r>
    <r>
      <rPr>
        <sz val="9"/>
        <rFont val="Arial"/>
        <family val="2"/>
      </rPr>
      <t xml:space="preserve"> requirements</t>
    </r>
  </si>
  <si>
    <t>based on sheet resistivity, resistor length and width</t>
  </si>
  <si>
    <t>Ticer Resistive Foils TCR® Designer's Guide</t>
  </si>
  <si>
    <t>Ohms/Square (OPS)</t>
  </si>
  <si>
    <t>Density</t>
  </si>
  <si>
    <t>Step 3:  Length and Width of the resistors are calculated for the different sheet resistivities.</t>
  </si>
  <si>
    <t>Step 4:  Resistor patterns are configured to optimize the footprint of the resistor</t>
  </si>
  <si>
    <t>Width Etch Tolerance</t>
  </si>
  <si>
    <t>Length Etch Tolerance</t>
  </si>
  <si>
    <t>Table 4</t>
  </si>
  <si>
    <t>B-Input Width and Length Etch Tolerances. Available from PWB Fabricator. (Table 2)</t>
  </si>
  <si>
    <r>
      <t xml:space="preserve">and the maximum allowable tolerance </t>
    </r>
    <r>
      <rPr>
        <b/>
        <i/>
        <sz val="10"/>
        <rFont val="Arial"/>
        <family val="2"/>
      </rPr>
      <t>(t)</t>
    </r>
    <r>
      <rPr>
        <sz val="10"/>
        <rFont val="Arial"/>
        <family val="0"/>
      </rPr>
      <t xml:space="preserve"> in percentage (%). </t>
    </r>
    <r>
      <rPr>
        <sz val="10"/>
        <color indexed="12"/>
        <rFont val="Arial"/>
        <family val="2"/>
      </rPr>
      <t>Note: Tolerances below 5% will output a value less than the TCR</t>
    </r>
    <r>
      <rPr>
        <vertAlign val="superscript"/>
        <sz val="10"/>
        <color indexed="12"/>
        <rFont val="Arial"/>
        <family val="2"/>
      </rPr>
      <t>®</t>
    </r>
    <r>
      <rPr>
        <sz val="10"/>
        <color indexed="12"/>
        <rFont val="Arial"/>
        <family val="2"/>
      </rPr>
      <t xml:space="preserve"> material tolerance.</t>
    </r>
  </si>
  <si>
    <t>A-Input Resistor Specifications (Table 1)</t>
  </si>
  <si>
    <r>
      <t>Tol</t>
    </r>
    <r>
      <rPr>
        <b/>
        <i/>
        <vertAlign val="subscript"/>
        <sz val="10"/>
        <rFont val="Arial"/>
        <family val="2"/>
      </rPr>
      <t>1</t>
    </r>
  </si>
  <si>
    <t>+/-%</t>
  </si>
  <si>
    <t>Step 3:  Resistor value, Power Dissipation, and estimated tolerance of the resistors are calculated for the different sheet resistivities.</t>
  </si>
  <si>
    <r>
      <t>Variables</t>
    </r>
    <r>
      <rPr>
        <sz val="12"/>
        <color indexed="12"/>
        <rFont val="Arial"/>
        <family val="2"/>
      </rPr>
      <t>: Resistor Length, Width, &amp; Etch Tolerance</t>
    </r>
    <r>
      <rPr>
        <sz val="12"/>
        <rFont val="Arial"/>
        <family val="0"/>
      </rPr>
      <t xml:space="preserve">        </t>
    </r>
    <r>
      <rPr>
        <b/>
        <sz val="12"/>
        <color indexed="57"/>
        <rFont val="Arial"/>
        <family val="2"/>
      </rPr>
      <t>Calculates</t>
    </r>
    <r>
      <rPr>
        <sz val="12"/>
        <color indexed="57"/>
        <rFont val="Arial"/>
        <family val="2"/>
      </rPr>
      <t>: Resistor value and Power Dissipation</t>
    </r>
  </si>
  <si>
    <r>
      <t xml:space="preserve">C-Calculated resistance </t>
    </r>
    <r>
      <rPr>
        <b/>
        <i/>
        <sz val="10"/>
        <rFont val="Arial"/>
        <family val="2"/>
      </rPr>
      <t>(Res)</t>
    </r>
    <r>
      <rPr>
        <b/>
        <sz val="10"/>
        <rFont val="Arial"/>
        <family val="2"/>
      </rPr>
      <t xml:space="preserve"> in ohms,Power Dissipaton </t>
    </r>
    <r>
      <rPr>
        <b/>
        <i/>
        <sz val="10"/>
        <rFont val="Arial"/>
        <family val="2"/>
      </rPr>
      <t xml:space="preserve">(PD) in </t>
    </r>
    <r>
      <rPr>
        <b/>
        <sz val="10"/>
        <rFont val="Arial"/>
        <family val="2"/>
      </rPr>
      <t>mWatts, and estimated Tolerance (</t>
    </r>
    <r>
      <rPr>
        <b/>
        <i/>
        <sz val="10"/>
        <rFont val="Arial"/>
        <family val="2"/>
      </rPr>
      <t>Tol</t>
    </r>
    <r>
      <rPr>
        <b/>
        <sz val="10"/>
        <rFont val="Arial"/>
        <family val="2"/>
      </rPr>
      <t>) of resistors by corresponding sheet resistivity (Table 3)</t>
    </r>
  </si>
  <si>
    <r>
      <t>Tol</t>
    </r>
    <r>
      <rPr>
        <b/>
        <i/>
        <vertAlign val="subscript"/>
        <sz val="10"/>
        <rFont val="Arial"/>
        <family val="2"/>
      </rPr>
      <t>2</t>
    </r>
  </si>
  <si>
    <r>
      <t>Tol</t>
    </r>
    <r>
      <rPr>
        <b/>
        <i/>
        <vertAlign val="subscript"/>
        <sz val="10"/>
        <rFont val="Arial"/>
        <family val="2"/>
      </rPr>
      <t>3</t>
    </r>
  </si>
  <si>
    <r>
      <t>Tol</t>
    </r>
    <r>
      <rPr>
        <b/>
        <i/>
        <vertAlign val="subscript"/>
        <sz val="10"/>
        <rFont val="Arial"/>
        <family val="2"/>
      </rPr>
      <t>4</t>
    </r>
  </si>
  <si>
    <r>
      <t>Tol</t>
    </r>
    <r>
      <rPr>
        <b/>
        <i/>
        <vertAlign val="subscript"/>
        <sz val="10"/>
        <rFont val="Arial"/>
        <family val="2"/>
      </rPr>
      <t>5</t>
    </r>
  </si>
  <si>
    <r>
      <t>Tol</t>
    </r>
    <r>
      <rPr>
        <b/>
        <i/>
        <vertAlign val="subscript"/>
        <sz val="10"/>
        <rFont val="Arial"/>
        <family val="2"/>
      </rPr>
      <t>6</t>
    </r>
  </si>
  <si>
    <t>Step 2:  Resistor Length, Power Dissipation and estimated resistor tolerance are calculated for the different sheet resistivities.</t>
  </si>
  <si>
    <t>Step 2:  Resistor Width, Power Dissipation and estimated resistor tolerance are calculated for the different sheet resistivities.</t>
  </si>
  <si>
    <r>
      <t>Variables</t>
    </r>
    <r>
      <rPr>
        <sz val="12"/>
        <color indexed="12"/>
        <rFont val="Arial"/>
        <family val="2"/>
      </rPr>
      <t xml:space="preserve">: Resistance and Resistor Length </t>
    </r>
    <r>
      <rPr>
        <sz val="12"/>
        <rFont val="Arial"/>
        <family val="0"/>
      </rPr>
      <t xml:space="preserve">      </t>
    </r>
    <r>
      <rPr>
        <b/>
        <sz val="12"/>
        <color indexed="57"/>
        <rFont val="Arial"/>
        <family val="2"/>
      </rPr>
      <t>Calculates</t>
    </r>
    <r>
      <rPr>
        <sz val="12"/>
        <color indexed="57"/>
        <rFont val="Arial"/>
        <family val="2"/>
      </rPr>
      <t>: Resistor Width, Power Dissipation, &amp; Resistor Tolerance</t>
    </r>
  </si>
  <si>
    <r>
      <t>Variables</t>
    </r>
    <r>
      <rPr>
        <sz val="12"/>
        <color indexed="12"/>
        <rFont val="Arial"/>
        <family val="2"/>
      </rPr>
      <t>: Resistance and Resistor Width</t>
    </r>
    <r>
      <rPr>
        <sz val="12"/>
        <rFont val="Arial"/>
        <family val="0"/>
      </rPr>
      <t xml:space="preserve">    </t>
    </r>
    <r>
      <rPr>
        <b/>
        <sz val="12"/>
        <rFont val="Arial"/>
        <family val="2"/>
      </rPr>
      <t xml:space="preserve"> </t>
    </r>
    <r>
      <rPr>
        <b/>
        <sz val="12"/>
        <color indexed="57"/>
        <rFont val="Arial"/>
        <family val="2"/>
      </rPr>
      <t>Calculates</t>
    </r>
    <r>
      <rPr>
        <sz val="12"/>
        <color indexed="57"/>
        <rFont val="Arial"/>
        <family val="2"/>
      </rPr>
      <t>: Resistor Length, Power Dissipation, &amp; Resistor Tolerance</t>
    </r>
  </si>
  <si>
    <r>
      <t>Variables</t>
    </r>
    <r>
      <rPr>
        <sz val="12"/>
        <color indexed="12"/>
        <rFont val="Arial"/>
        <family val="2"/>
      </rPr>
      <t>: Resistor Value, Power Dissipation, Tolerance, &amp; Etch Tolerance</t>
    </r>
    <r>
      <rPr>
        <sz val="12"/>
        <rFont val="Arial"/>
        <family val="0"/>
      </rPr>
      <t xml:space="preserve">        </t>
    </r>
    <r>
      <rPr>
        <b/>
        <sz val="12"/>
        <color indexed="57"/>
        <rFont val="Arial"/>
        <family val="2"/>
      </rPr>
      <t>Calculates</t>
    </r>
    <r>
      <rPr>
        <sz val="12"/>
        <color indexed="57"/>
        <rFont val="Arial"/>
        <family val="2"/>
      </rPr>
      <t>: Baseline Resistor Width &amp; Length</t>
    </r>
  </si>
  <si>
    <t xml:space="preserve">Step 1:  For each resistor enter the resistor value (R) in ohms, its power dissipations (P) in mWatts, </t>
  </si>
  <si>
    <t>mW/um2</t>
  </si>
  <si>
    <t>um2</t>
  </si>
  <si>
    <t>um</t>
  </si>
  <si>
    <t>E (um)</t>
  </si>
  <si>
    <t>C-Recoumended Length (L) and Width (W) of resistors by corresponding sheet resistivity (Table 3)</t>
  </si>
  <si>
    <t>(um)</t>
  </si>
  <si>
    <t>D-Recoumended resistor configuration (Table 4)</t>
  </si>
  <si>
    <t xml:space="preserve">Step 1:  For each resistor enter the required Length (L) in um, </t>
  </si>
  <si>
    <t>and the width (W) in um.</t>
  </si>
  <si>
    <t>Length (um)</t>
  </si>
  <si>
    <t>Width (um)</t>
  </si>
  <si>
    <t>B-Calculated resistor length (Len) in um, Power Dissipation (PD) in mWatts, and estimated resistor tolerance (Tol) of resistors by corresponding sheet resistivity (Table 2)</t>
  </si>
  <si>
    <t>C-Recoumended resistor configuration (Table 3)</t>
  </si>
  <si>
    <t>and the length (L) in um.</t>
  </si>
  <si>
    <t>B-Calculated Resistor Width (Wid) in um, Power Dissipation (PD) in mWatts, and estimated Resistor Tolerance (Tol) by corresponding sheet resistivity (Table 2)</t>
  </si>
  <si>
    <t>Step 2: Width and Length  Etch Tolerances (E) based on PWB fabricator data is input.  Note: Default value = 12.7 um for 1/2 oz. copper</t>
  </si>
  <si>
    <t>Step 2:  Width and Length Etch Tolerances (E) based on PWB fabricator data is input.  Note: Default value = 12.7 um for 1/2 oz. copper</t>
  </si>
  <si>
    <t>METRIC (microns)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</si>
</sst>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0000"/>
  </numFmts>
  <fonts count="51">
    <font>
      <sz val="10"/>
      <name val="Arial"/>
      <family val="0"/>
    </font>
    <font>
      <b/>
      <i/>
      <sz val="10"/>
      <name val="Arial"/>
      <family val="2"/>
    </font>
    <font>
      <b/>
      <sz val="10"/>
      <name val="Arial"/>
      <family val="2"/>
    </font>
    <font>
      <b/>
      <vertAlign val="subscript"/>
      <sz val="10"/>
      <name val="Arial"/>
      <family val="2"/>
    </font>
    <font>
      <b/>
      <i/>
      <vertAlign val="subscript"/>
      <sz val="10"/>
      <name val="Arial"/>
      <family val="2"/>
    </font>
    <font>
      <sz val="10"/>
      <color indexed="22"/>
      <name val="Arial"/>
      <family val="2"/>
    </font>
    <font>
      <u val="single"/>
      <sz val="10"/>
      <color indexed="12"/>
      <name val="Arial"/>
      <family val="0"/>
    </font>
    <font>
      <u val="single"/>
      <sz val="10"/>
      <color indexed="36"/>
      <name val="Arial"/>
      <family val="0"/>
    </font>
    <font>
      <sz val="9"/>
      <name val="Arial"/>
      <family val="2"/>
    </font>
    <font>
      <b/>
      <i/>
      <sz val="9"/>
      <name val="Arial"/>
      <family val="2"/>
    </font>
    <font>
      <b/>
      <sz val="12"/>
      <name val="Arial"/>
      <family val="2"/>
    </font>
    <font>
      <sz val="10"/>
      <color indexed="55"/>
      <name val="Arial"/>
      <family val="2"/>
    </font>
    <font>
      <b/>
      <sz val="10"/>
      <color indexed="33"/>
      <name val="Arial"/>
      <family val="2"/>
    </font>
    <font>
      <b/>
      <sz val="10"/>
      <color indexed="12"/>
      <name val="Arial"/>
      <family val="2"/>
    </font>
    <font>
      <b/>
      <sz val="10"/>
      <color indexed="10"/>
      <name val="Arial"/>
      <family val="2"/>
    </font>
    <font>
      <b/>
      <sz val="10"/>
      <name val="Times New Roman"/>
      <family val="1"/>
    </font>
    <font>
      <b/>
      <i/>
      <sz val="11"/>
      <name val="Times New Roman"/>
      <family val="1"/>
    </font>
    <font>
      <sz val="8"/>
      <name val="Arial"/>
      <family val="2"/>
    </font>
    <font>
      <sz val="8"/>
      <color indexed="22"/>
      <name val="Arial"/>
      <family val="2"/>
    </font>
    <font>
      <sz val="12"/>
      <name val="Arial"/>
      <family val="0"/>
    </font>
    <font>
      <sz val="12"/>
      <color indexed="12"/>
      <name val="Arial"/>
      <family val="2"/>
    </font>
    <font>
      <sz val="12"/>
      <color indexed="57"/>
      <name val="Arial"/>
      <family val="2"/>
    </font>
    <font>
      <b/>
      <sz val="12"/>
      <color indexed="57"/>
      <name val="Arial"/>
      <family val="2"/>
    </font>
    <font>
      <b/>
      <sz val="12"/>
      <color indexed="12"/>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16"/>
      <name val="Arial"/>
      <family val="2"/>
    </font>
    <font>
      <sz val="10"/>
      <color indexed="60"/>
      <name val="Arial"/>
      <family val="2"/>
    </font>
    <font>
      <b/>
      <sz val="10"/>
      <color indexed="8"/>
      <name val="Arial"/>
      <family val="2"/>
    </font>
    <font>
      <sz val="10"/>
      <color indexed="62"/>
      <name val="Arial"/>
      <family val="2"/>
    </font>
    <font>
      <b/>
      <sz val="10"/>
      <color indexed="63"/>
      <name val="Arial"/>
      <family val="2"/>
    </font>
    <font>
      <b/>
      <sz val="10"/>
      <color indexed="53"/>
      <name val="Arial"/>
      <family val="2"/>
    </font>
    <font>
      <sz val="10"/>
      <color indexed="53"/>
      <name val="Arial"/>
      <family val="2"/>
    </font>
    <font>
      <b/>
      <sz val="10"/>
      <color indexed="9"/>
      <name val="Arial"/>
      <family val="2"/>
    </font>
    <font>
      <sz val="10"/>
      <color indexed="10"/>
      <name val="Arial"/>
      <family val="2"/>
    </font>
    <font>
      <sz val="10"/>
      <color indexed="9"/>
      <name val="Arial"/>
      <family val="2"/>
    </font>
    <font>
      <sz val="10"/>
      <color indexed="8"/>
      <name val="Arial"/>
      <family val="2"/>
    </font>
    <font>
      <sz val="11"/>
      <name val="Tahoma"/>
      <family val="0"/>
    </font>
    <font>
      <b/>
      <sz val="11"/>
      <name val="Tahoma"/>
      <family val="0"/>
    </font>
    <font>
      <sz val="10"/>
      <color indexed="12"/>
      <name val="Arial"/>
      <family val="2"/>
    </font>
    <font>
      <vertAlign val="superscript"/>
      <sz val="10"/>
      <color indexed="12"/>
      <name val="Arial"/>
      <family val="2"/>
    </font>
    <font>
      <sz val="18"/>
      <color indexed="56"/>
      <name val="Cambria"/>
      <family val="2"/>
    </font>
    <font>
      <i/>
      <sz val="11"/>
      <color indexed="23"/>
      <name val="Calibri"/>
      <family val="2"/>
    </font>
    <font>
      <sz val="11"/>
      <color indexed="8"/>
      <name val="Calibri"/>
      <family val="2"/>
    </font>
    <font>
      <sz val="11"/>
      <color theme="1"/>
      <name val="Calibri"/>
      <family val="2"/>
    </font>
    <font>
      <i/>
      <sz val="11"/>
      <color rgb="FF7F7F7F"/>
      <name val="Calibri"/>
      <family val="2"/>
    </font>
    <font>
      <sz val="18"/>
      <color theme="3"/>
      <name val="Cambria"/>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
      <patternFill patternType="solid">
        <fgColor indexed="54"/>
        <bgColor indexed="64"/>
      </patternFill>
    </fill>
    <fill>
      <patternFill patternType="solid">
        <fgColor indexed="43"/>
        <bgColor indexed="64"/>
      </patternFill>
    </fill>
    <fill>
      <patternFill patternType="solid">
        <fgColor indexed="40"/>
        <bgColor indexed="64"/>
      </patternFill>
    </fill>
    <fill>
      <patternFill patternType="solid">
        <fgColor indexed="42"/>
        <bgColor indexed="64"/>
      </patternFill>
    </fill>
    <fill>
      <patternFill patternType="solid">
        <fgColor indexed="10"/>
        <bgColor indexed="64"/>
      </patternFill>
    </fill>
    <fill>
      <patternFill patternType="solid">
        <fgColor indexed="11"/>
        <bgColor indexed="64"/>
      </patternFill>
    </fill>
    <fill>
      <patternFill patternType="solid">
        <fgColor indexed="18"/>
        <bgColor indexed="64"/>
      </patternFill>
    </fill>
    <fill>
      <patternFill patternType="solid">
        <fgColor indexed="26"/>
        <bgColor indexed="64"/>
      </patternFill>
    </fill>
    <fill>
      <patternFill patternType="solid">
        <fgColor indexed="6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style="double"/>
    </border>
    <border>
      <left>
        <color indexed="63"/>
      </left>
      <right style="thin"/>
      <top>
        <color indexed="63"/>
      </top>
      <bottom style="double"/>
    </border>
    <border>
      <left style="medium"/>
      <right style="medium"/>
      <top style="medium"/>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thin"/>
      <right style="thin"/>
      <top style="thin"/>
      <bottom style="double"/>
    </border>
    <border>
      <left>
        <color indexed="63"/>
      </left>
      <right style="thin"/>
      <top style="thin"/>
      <bottom style="double"/>
    </border>
    <border>
      <left style="thin"/>
      <right>
        <color indexed="63"/>
      </right>
      <top style="thin"/>
      <bottom style="mediu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38" fillId="2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9" fillId="24" borderId="0" applyNumberFormat="0" applyBorder="0" applyAlignment="0" applyProtection="0"/>
    <xf numFmtId="0" fontId="39" fillId="27" borderId="0" applyNumberFormat="0" applyBorder="0" applyAlignment="0" applyProtection="0"/>
    <xf numFmtId="0" fontId="38" fillId="25" borderId="0" applyNumberFormat="0" applyBorder="0" applyAlignment="0" applyProtection="0"/>
    <xf numFmtId="0" fontId="38" fillId="20" borderId="0" applyNumberFormat="0" applyBorder="0" applyAlignment="0" applyProtection="0"/>
    <xf numFmtId="0" fontId="39" fillId="21" borderId="0" applyNumberFormat="0" applyBorder="0" applyAlignment="0" applyProtection="0"/>
    <xf numFmtId="0" fontId="39"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9" fillId="29" borderId="0" applyNumberFormat="0" applyBorder="0" applyAlignment="0" applyProtection="0"/>
    <xf numFmtId="0" fontId="39" fillId="21" borderId="0" applyNumberFormat="0" applyBorder="0" applyAlignment="0" applyProtection="0"/>
    <xf numFmtId="0" fontId="38" fillId="22" borderId="0" applyNumberFormat="0" applyBorder="0" applyAlignment="0" applyProtection="0"/>
    <xf numFmtId="0" fontId="38" fillId="30" borderId="0" applyNumberFormat="0" applyBorder="0" applyAlignment="0" applyProtection="0"/>
    <xf numFmtId="0" fontId="39" fillId="24" borderId="0" applyNumberFormat="0" applyBorder="0" applyAlignment="0" applyProtection="0"/>
    <xf numFmtId="0" fontId="39" fillId="31" borderId="0" applyNumberFormat="0" applyBorder="0" applyAlignment="0" applyProtection="0"/>
    <xf numFmtId="0" fontId="38" fillId="31" borderId="0" applyNumberFormat="0" applyBorder="0" applyAlignment="0" applyProtection="0"/>
    <xf numFmtId="0" fontId="29" fillId="32" borderId="0" applyNumberFormat="0" applyBorder="0" applyAlignment="0" applyProtection="0"/>
    <xf numFmtId="0" fontId="34" fillId="33" borderId="1" applyNumberFormat="0" applyAlignment="0" applyProtection="0"/>
    <xf numFmtId="0" fontId="3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28" fillId="27"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6" fillId="0" borderId="0" applyNumberFormat="0" applyFill="0" applyBorder="0" applyAlignment="0" applyProtection="0"/>
    <xf numFmtId="0" fontId="32" fillId="31" borderId="1" applyNumberFormat="0" applyAlignment="0" applyProtection="0"/>
    <xf numFmtId="0" fontId="35" fillId="0" borderId="6" applyNumberFormat="0" applyFill="0" applyAlignment="0" applyProtection="0"/>
    <xf numFmtId="0" fontId="30" fillId="37" borderId="0" applyNumberFormat="0" applyBorder="0" applyAlignment="0" applyProtection="0"/>
    <xf numFmtId="0" fontId="0" fillId="24" borderId="7" applyNumberFormat="0" applyFont="0" applyAlignment="0" applyProtection="0"/>
    <xf numFmtId="0" fontId="33" fillId="33"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49" fillId="0" borderId="0" applyNumberFormat="0" applyFill="0" applyBorder="0" applyAlignment="0" applyProtection="0"/>
    <xf numFmtId="0" fontId="31" fillId="0" borderId="9" applyNumberFormat="0" applyFill="0" applyAlignment="0" applyProtection="0"/>
    <xf numFmtId="0" fontId="37" fillId="0" borderId="0" applyNumberFormat="0" applyFill="0" applyBorder="0" applyAlignment="0" applyProtection="0"/>
  </cellStyleXfs>
  <cellXfs count="202">
    <xf numFmtId="0" fontId="0" fillId="0" borderId="0" xfId="0" applyAlignment="1">
      <alignment/>
    </xf>
    <xf numFmtId="0" fontId="0" fillId="0" borderId="10" xfId="0" applyBorder="1" applyAlignment="1">
      <alignment/>
    </xf>
    <xf numFmtId="0" fontId="0" fillId="0" borderId="11" xfId="0" applyBorder="1" applyAlignment="1">
      <alignment/>
    </xf>
    <xf numFmtId="0" fontId="5" fillId="38" borderId="12" xfId="0" applyFont="1" applyFill="1" applyBorder="1" applyAlignment="1">
      <alignment/>
    </xf>
    <xf numFmtId="0" fontId="1" fillId="38" borderId="13" xfId="0" applyFont="1" applyFill="1" applyBorder="1" applyAlignment="1">
      <alignment horizontal="center"/>
    </xf>
    <xf numFmtId="0" fontId="0" fillId="38" borderId="10" xfId="0" applyFill="1" applyBorder="1" applyAlignment="1">
      <alignment/>
    </xf>
    <xf numFmtId="0" fontId="1" fillId="38" borderId="14" xfId="0" applyFont="1" applyFill="1" applyBorder="1" applyAlignment="1">
      <alignment horizontal="center"/>
    </xf>
    <xf numFmtId="0" fontId="1" fillId="38" borderId="10" xfId="0" applyFont="1" applyFill="1" applyBorder="1" applyAlignment="1">
      <alignment/>
    </xf>
    <xf numFmtId="0" fontId="1" fillId="38" borderId="10" xfId="0" applyFont="1" applyFill="1" applyBorder="1" applyAlignment="1">
      <alignment horizontal="center"/>
    </xf>
    <xf numFmtId="0" fontId="0" fillId="38" borderId="13" xfId="0" applyFill="1" applyBorder="1" applyAlignment="1">
      <alignment/>
    </xf>
    <xf numFmtId="0" fontId="1" fillId="39" borderId="13" xfId="0" applyFont="1" applyFill="1" applyBorder="1" applyAlignment="1">
      <alignment horizontal="center"/>
    </xf>
    <xf numFmtId="0" fontId="1" fillId="40" borderId="13" xfId="0" applyFont="1" applyFill="1" applyBorder="1" applyAlignment="1">
      <alignment horizontal="center"/>
    </xf>
    <xf numFmtId="0" fontId="0" fillId="41" borderId="15" xfId="0" applyFill="1" applyBorder="1" applyAlignment="1">
      <alignment horizontal="right"/>
    </xf>
    <xf numFmtId="0" fontId="1" fillId="41" borderId="16" xfId="0" applyFont="1" applyFill="1" applyBorder="1" applyAlignment="1">
      <alignment horizontal="center" vertical="center"/>
    </xf>
    <xf numFmtId="0" fontId="0" fillId="41" borderId="16" xfId="0" applyFill="1" applyBorder="1" applyAlignment="1">
      <alignment horizontal="center"/>
    </xf>
    <xf numFmtId="0" fontId="0" fillId="38" borderId="15" xfId="0" applyFill="1" applyBorder="1" applyAlignment="1">
      <alignment/>
    </xf>
    <xf numFmtId="0" fontId="0" fillId="38" borderId="0" xfId="0" applyFill="1" applyBorder="1" applyAlignment="1">
      <alignment/>
    </xf>
    <xf numFmtId="0" fontId="0" fillId="38" borderId="17" xfId="0" applyFill="1" applyBorder="1" applyAlignment="1">
      <alignment/>
    </xf>
    <xf numFmtId="0" fontId="0" fillId="38" borderId="18"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11" xfId="0" applyFill="1" applyBorder="1" applyAlignment="1">
      <alignment/>
    </xf>
    <xf numFmtId="0" fontId="0" fillId="38" borderId="20" xfId="0" applyFill="1" applyBorder="1" applyAlignment="1">
      <alignment/>
    </xf>
    <xf numFmtId="0" fontId="1" fillId="38" borderId="0" xfId="0" applyFont="1" applyFill="1" applyBorder="1" applyAlignment="1">
      <alignment horizontal="center"/>
    </xf>
    <xf numFmtId="0" fontId="8" fillId="0" borderId="0" xfId="0" applyFont="1" applyAlignment="1">
      <alignment/>
    </xf>
    <xf numFmtId="0" fontId="6" fillId="0" borderId="0" xfId="74" applyAlignment="1" applyProtection="1">
      <alignment/>
      <protection/>
    </xf>
    <xf numFmtId="0" fontId="6" fillId="0" borderId="0" xfId="74" applyFill="1" applyBorder="1" applyAlignment="1" applyProtection="1">
      <alignment/>
      <protection/>
    </xf>
    <xf numFmtId="0" fontId="0" fillId="0" borderId="21" xfId="0" applyBorder="1" applyAlignment="1">
      <alignment/>
    </xf>
    <xf numFmtId="0" fontId="0" fillId="0" borderId="10" xfId="0" applyFont="1" applyBorder="1" applyAlignment="1">
      <alignment/>
    </xf>
    <xf numFmtId="0" fontId="0" fillId="0" borderId="15" xfId="0" applyNumberFormat="1" applyBorder="1" applyAlignment="1" applyProtection="1">
      <alignment horizontal="center"/>
      <protection hidden="1"/>
    </xf>
    <xf numFmtId="0" fontId="0" fillId="42" borderId="21" xfId="0" applyFill="1" applyBorder="1" applyAlignment="1">
      <alignment/>
    </xf>
    <xf numFmtId="0" fontId="2" fillId="42" borderId="22" xfId="0" applyFont="1" applyFill="1" applyBorder="1" applyAlignment="1">
      <alignment horizontal="center"/>
    </xf>
    <xf numFmtId="0" fontId="2" fillId="42" borderId="20" xfId="0" applyFont="1" applyFill="1" applyBorder="1" applyAlignment="1">
      <alignment horizontal="center"/>
    </xf>
    <xf numFmtId="0" fontId="0" fillId="42" borderId="10" xfId="0" applyFill="1" applyBorder="1" applyAlignment="1">
      <alignment horizontal="center"/>
    </xf>
    <xf numFmtId="0" fontId="0" fillId="42" borderId="12" xfId="0" applyFill="1" applyBorder="1" applyAlignment="1">
      <alignment horizontal="center"/>
    </xf>
    <xf numFmtId="0" fontId="0" fillId="42" borderId="22" xfId="0" applyFill="1" applyBorder="1" applyAlignment="1">
      <alignment horizontal="center"/>
    </xf>
    <xf numFmtId="0" fontId="0" fillId="42" borderId="20" xfId="0" applyFill="1" applyBorder="1" applyAlignment="1">
      <alignment horizontal="center"/>
    </xf>
    <xf numFmtId="0" fontId="0" fillId="42" borderId="23" xfId="0" applyFill="1" applyBorder="1" applyAlignment="1">
      <alignment horizontal="center"/>
    </xf>
    <xf numFmtId="0" fontId="0" fillId="42" borderId="24" xfId="0" applyFill="1" applyBorder="1" applyAlignment="1">
      <alignment horizontal="center"/>
    </xf>
    <xf numFmtId="0" fontId="0" fillId="42" borderId="16" xfId="0" applyFill="1" applyBorder="1" applyAlignment="1">
      <alignment horizontal="center"/>
    </xf>
    <xf numFmtId="0" fontId="0" fillId="43" borderId="21" xfId="0" applyFill="1" applyBorder="1" applyAlignment="1">
      <alignment/>
    </xf>
    <xf numFmtId="0" fontId="0" fillId="43" borderId="13" xfId="0" applyFill="1" applyBorder="1" applyAlignment="1">
      <alignment/>
    </xf>
    <xf numFmtId="0" fontId="0" fillId="43" borderId="14" xfId="0" applyFill="1" applyBorder="1" applyAlignment="1">
      <alignment/>
    </xf>
    <xf numFmtId="0" fontId="0" fillId="43" borderId="10" xfId="0" applyFill="1" applyBorder="1" applyAlignment="1">
      <alignment/>
    </xf>
    <xf numFmtId="0" fontId="2" fillId="43" borderId="20" xfId="0" applyFont="1" applyFill="1" applyBorder="1" applyAlignment="1">
      <alignment horizontal="center"/>
    </xf>
    <xf numFmtId="0" fontId="2" fillId="43" borderId="11" xfId="0" applyFont="1" applyFill="1" applyBorder="1" applyAlignment="1">
      <alignment horizontal="center"/>
    </xf>
    <xf numFmtId="0" fontId="2" fillId="43" borderId="19" xfId="0" applyFont="1" applyFill="1" applyBorder="1" applyAlignment="1">
      <alignment horizontal="center"/>
    </xf>
    <xf numFmtId="0" fontId="2" fillId="43" borderId="22" xfId="0" applyFont="1" applyFill="1" applyBorder="1" applyAlignment="1">
      <alignment horizontal="center"/>
    </xf>
    <xf numFmtId="0" fontId="0" fillId="43" borderId="12" xfId="0" applyFill="1" applyBorder="1" applyAlignment="1">
      <alignment horizontal="center"/>
    </xf>
    <xf numFmtId="0" fontId="0" fillId="43" borderId="20" xfId="0" applyFill="1" applyBorder="1" applyAlignment="1">
      <alignment horizontal="center"/>
    </xf>
    <xf numFmtId="0" fontId="0" fillId="43" borderId="24" xfId="0" applyFill="1" applyBorder="1" applyAlignment="1">
      <alignment horizontal="center"/>
    </xf>
    <xf numFmtId="164" fontId="2" fillId="43" borderId="16" xfId="0" applyNumberFormat="1" applyFont="1" applyFill="1" applyBorder="1" applyAlignment="1">
      <alignment horizontal="center"/>
    </xf>
    <xf numFmtId="2" fontId="2" fillId="43" borderId="16" xfId="0" applyNumberFormat="1" applyFont="1" applyFill="1" applyBorder="1" applyAlignment="1" applyProtection="1">
      <alignment horizontal="center"/>
      <protection/>
    </xf>
    <xf numFmtId="164" fontId="12" fillId="43" borderId="16" xfId="0" applyNumberFormat="1" applyFont="1" applyFill="1" applyBorder="1" applyAlignment="1">
      <alignment horizontal="center"/>
    </xf>
    <xf numFmtId="164" fontId="13" fillId="43" borderId="16" xfId="0" applyNumberFormat="1" applyFont="1" applyFill="1" applyBorder="1" applyAlignment="1">
      <alignment horizontal="center"/>
    </xf>
    <xf numFmtId="1" fontId="14" fillId="43" borderId="16" xfId="0" applyNumberFormat="1" applyFont="1" applyFill="1" applyBorder="1" applyAlignment="1">
      <alignment horizontal="center"/>
    </xf>
    <xf numFmtId="0" fontId="0" fillId="39" borderId="25" xfId="0" applyFill="1" applyBorder="1" applyAlignment="1">
      <alignment horizontal="center"/>
    </xf>
    <xf numFmtId="0" fontId="0" fillId="40" borderId="25" xfId="0" applyFill="1" applyBorder="1" applyAlignment="1">
      <alignment horizontal="center"/>
    </xf>
    <xf numFmtId="0" fontId="11" fillId="44" borderId="10" xfId="0" applyFont="1" applyFill="1" applyBorder="1" applyAlignment="1">
      <alignment/>
    </xf>
    <xf numFmtId="0" fontId="0" fillId="44" borderId="23" xfId="0" applyFill="1" applyBorder="1" applyAlignment="1">
      <alignment/>
    </xf>
    <xf numFmtId="1" fontId="15" fillId="45" borderId="22" xfId="0" applyNumberFormat="1" applyFont="1" applyFill="1" applyBorder="1" applyAlignment="1">
      <alignment horizontal="center"/>
    </xf>
    <xf numFmtId="1" fontId="16" fillId="45" borderId="22" xfId="0" applyNumberFormat="1" applyFont="1" applyFill="1" applyBorder="1" applyAlignment="1">
      <alignment horizontal="center"/>
    </xf>
    <xf numFmtId="1" fontId="15" fillId="40" borderId="22" xfId="0" applyNumberFormat="1" applyFont="1" applyFill="1" applyBorder="1" applyAlignment="1">
      <alignment horizontal="center"/>
    </xf>
    <xf numFmtId="0" fontId="1" fillId="38" borderId="26" xfId="0" applyFont="1" applyFill="1" applyBorder="1" applyAlignment="1">
      <alignment vertical="center"/>
    </xf>
    <xf numFmtId="0" fontId="0" fillId="38" borderId="26" xfId="0" applyFill="1" applyBorder="1" applyAlignment="1">
      <alignment/>
    </xf>
    <xf numFmtId="0" fontId="18" fillId="38" borderId="12" xfId="0" applyFont="1" applyFill="1" applyBorder="1" applyAlignment="1">
      <alignment/>
    </xf>
    <xf numFmtId="0" fontId="17" fillId="38" borderId="10" xfId="0" applyFont="1" applyFill="1" applyBorder="1" applyAlignment="1">
      <alignment/>
    </xf>
    <xf numFmtId="0" fontId="18" fillId="38" borderId="20" xfId="0" applyFont="1" applyFill="1" applyBorder="1" applyAlignment="1">
      <alignment/>
    </xf>
    <xf numFmtId="0" fontId="17" fillId="38" borderId="22" xfId="0" applyFont="1" applyFill="1" applyBorder="1" applyAlignment="1">
      <alignment/>
    </xf>
    <xf numFmtId="0" fontId="1" fillId="39" borderId="27" xfId="0" applyFont="1" applyFill="1" applyBorder="1" applyAlignment="1">
      <alignment horizontal="center" vertical="center"/>
    </xf>
    <xf numFmtId="0" fontId="1" fillId="40" borderId="27" xfId="0" applyFont="1" applyFill="1" applyBorder="1" applyAlignment="1">
      <alignment horizontal="center" vertical="center"/>
    </xf>
    <xf numFmtId="0" fontId="1" fillId="39" borderId="28" xfId="0" applyFont="1" applyFill="1" applyBorder="1" applyAlignment="1">
      <alignment horizontal="center" vertical="center"/>
    </xf>
    <xf numFmtId="0" fontId="1" fillId="40" borderId="28" xfId="0" applyFont="1" applyFill="1" applyBorder="1" applyAlignment="1">
      <alignment horizontal="center" vertical="center"/>
    </xf>
    <xf numFmtId="0" fontId="0" fillId="0" borderId="0" xfId="0" applyAlignment="1">
      <alignment/>
    </xf>
    <xf numFmtId="0" fontId="0" fillId="43" borderId="21" xfId="0" applyFont="1" applyFill="1" applyBorder="1" applyAlignment="1">
      <alignment/>
    </xf>
    <xf numFmtId="0" fontId="0" fillId="43" borderId="24" xfId="0" applyFont="1" applyFill="1" applyBorder="1" applyAlignment="1">
      <alignment horizontal="center"/>
    </xf>
    <xf numFmtId="0" fontId="2" fillId="43" borderId="20" xfId="0" applyFont="1" applyFill="1" applyBorder="1" applyAlignment="1">
      <alignment horizontal="center"/>
    </xf>
    <xf numFmtId="0" fontId="19" fillId="0" borderId="0" xfId="0" applyFont="1" applyAlignment="1">
      <alignment horizontal="center"/>
    </xf>
    <xf numFmtId="0" fontId="23" fillId="0" borderId="0" xfId="0" applyFont="1" applyAlignment="1">
      <alignment horizontal="center"/>
    </xf>
    <xf numFmtId="2" fontId="2" fillId="43" borderId="16" xfId="0" applyNumberFormat="1" applyFont="1" applyFill="1" applyBorder="1" applyAlignment="1">
      <alignment horizontal="center"/>
    </xf>
    <xf numFmtId="0" fontId="5" fillId="38" borderId="20" xfId="0" applyFont="1" applyFill="1" applyBorder="1" applyAlignment="1">
      <alignment/>
    </xf>
    <xf numFmtId="0" fontId="0" fillId="38" borderId="22" xfId="0" applyFill="1" applyBorder="1" applyAlignment="1">
      <alignment/>
    </xf>
    <xf numFmtId="0" fontId="0" fillId="41" borderId="17" xfId="0" applyFill="1" applyBorder="1" applyAlignment="1">
      <alignment horizontal="center" vertical="center" wrapText="1"/>
    </xf>
    <xf numFmtId="0" fontId="0" fillId="41" borderId="19" xfId="0" applyFill="1" applyBorder="1" applyAlignment="1">
      <alignment horizontal="center" vertical="center" wrapText="1"/>
    </xf>
    <xf numFmtId="0" fontId="0" fillId="43" borderId="29" xfId="0" applyFill="1" applyBorder="1" applyAlignment="1">
      <alignment horizontal="center"/>
    </xf>
    <xf numFmtId="1" fontId="15" fillId="40" borderId="22" xfId="0" applyNumberFormat="1" applyFont="1" applyFill="1" applyBorder="1" applyAlignment="1">
      <alignment horizontal="center"/>
    </xf>
    <xf numFmtId="1" fontId="16" fillId="40" borderId="22" xfId="0" applyNumberFormat="1" applyFont="1" applyFill="1" applyBorder="1" applyAlignment="1">
      <alignment horizontal="center"/>
    </xf>
    <xf numFmtId="0" fontId="1" fillId="41" borderId="15" xfId="0" applyFont="1" applyFill="1" applyBorder="1" applyAlignment="1">
      <alignment horizontal="center" vertical="center"/>
    </xf>
    <xf numFmtId="0" fontId="0" fillId="41" borderId="15" xfId="0" applyFill="1" applyBorder="1" applyAlignment="1">
      <alignment horizontal="center"/>
    </xf>
    <xf numFmtId="0" fontId="0" fillId="38" borderId="21" xfId="0" applyFill="1" applyBorder="1" applyAlignment="1">
      <alignment/>
    </xf>
    <xf numFmtId="0" fontId="0" fillId="38" borderId="12" xfId="0" applyFill="1" applyBorder="1" applyAlignment="1">
      <alignment/>
    </xf>
    <xf numFmtId="0" fontId="18" fillId="38" borderId="0" xfId="0" applyFont="1" applyFill="1" applyBorder="1" applyAlignment="1">
      <alignment/>
    </xf>
    <xf numFmtId="0" fontId="17" fillId="38" borderId="0" xfId="0" applyFont="1" applyFill="1" applyBorder="1" applyAlignment="1">
      <alignment/>
    </xf>
    <xf numFmtId="0" fontId="18" fillId="38" borderId="11" xfId="0" applyFont="1" applyFill="1" applyBorder="1" applyAlignment="1">
      <alignment/>
    </xf>
    <xf numFmtId="0" fontId="17" fillId="38" borderId="11" xfId="0" applyFont="1" applyFill="1" applyBorder="1" applyAlignment="1">
      <alignment/>
    </xf>
    <xf numFmtId="0" fontId="2" fillId="39" borderId="0" xfId="0" applyFont="1" applyFill="1" applyAlignment="1">
      <alignment horizontal="left"/>
    </xf>
    <xf numFmtId="0" fontId="0" fillId="39" borderId="0" xfId="0" applyFill="1" applyAlignment="1">
      <alignment horizontal="left"/>
    </xf>
    <xf numFmtId="0" fontId="0" fillId="43" borderId="30" xfId="0" applyFill="1" applyBorder="1" applyAlignment="1">
      <alignment horizontal="center"/>
    </xf>
    <xf numFmtId="0" fontId="1" fillId="39" borderId="16" xfId="0" applyFont="1" applyFill="1" applyBorder="1" applyAlignment="1">
      <alignment/>
    </xf>
    <xf numFmtId="1" fontId="15" fillId="45" borderId="22" xfId="0" applyNumberFormat="1" applyFont="1" applyFill="1" applyBorder="1" applyAlignment="1">
      <alignment horizontal="center"/>
    </xf>
    <xf numFmtId="0" fontId="1" fillId="40" borderId="16" xfId="0" applyFont="1" applyFill="1" applyBorder="1" applyAlignment="1">
      <alignment/>
    </xf>
    <xf numFmtId="0" fontId="1" fillId="40" borderId="28" xfId="0" applyFont="1" applyFill="1" applyBorder="1" applyAlignment="1" quotePrefix="1">
      <alignment vertical="center"/>
    </xf>
    <xf numFmtId="0" fontId="1" fillId="39" borderId="28" xfId="0" applyFont="1" applyFill="1" applyBorder="1" applyAlignment="1" quotePrefix="1">
      <alignment vertical="center"/>
    </xf>
    <xf numFmtId="0" fontId="0" fillId="0" borderId="11" xfId="0" applyFont="1" applyBorder="1" applyAlignment="1">
      <alignment/>
    </xf>
    <xf numFmtId="0" fontId="0" fillId="43" borderId="21" xfId="0" applyFont="1" applyFill="1" applyBorder="1" applyAlignment="1">
      <alignment/>
    </xf>
    <xf numFmtId="0" fontId="0" fillId="43" borderId="12" xfId="0" applyFont="1" applyFill="1" applyBorder="1" applyAlignment="1">
      <alignment horizontal="center"/>
    </xf>
    <xf numFmtId="0" fontId="0" fillId="43" borderId="20" xfId="0" applyFont="1" applyFill="1" applyBorder="1" applyAlignment="1">
      <alignment horizontal="center"/>
    </xf>
    <xf numFmtId="0" fontId="23" fillId="0" borderId="0" xfId="0" applyFont="1" applyAlignment="1">
      <alignment/>
    </xf>
    <xf numFmtId="0" fontId="19" fillId="0" borderId="0" xfId="0" applyFont="1" applyAlignment="1">
      <alignment/>
    </xf>
    <xf numFmtId="0" fontId="2" fillId="0" borderId="0" xfId="0" applyFont="1" applyFill="1" applyAlignment="1">
      <alignment/>
    </xf>
    <xf numFmtId="1" fontId="0" fillId="43" borderId="16" xfId="0" applyNumberFormat="1" applyFont="1" applyFill="1" applyBorder="1" applyAlignment="1">
      <alignment horizontal="center"/>
    </xf>
    <xf numFmtId="1" fontId="12" fillId="43" borderId="16" xfId="0" applyNumberFormat="1" applyFont="1" applyFill="1" applyBorder="1" applyAlignment="1">
      <alignment horizontal="center"/>
    </xf>
    <xf numFmtId="1" fontId="13" fillId="43" borderId="16" xfId="0" applyNumberFormat="1" applyFont="1" applyFill="1" applyBorder="1" applyAlignment="1">
      <alignment horizontal="center"/>
    </xf>
    <xf numFmtId="1" fontId="0" fillId="0" borderId="0" xfId="0" applyNumberFormat="1" applyAlignment="1">
      <alignment/>
    </xf>
    <xf numFmtId="1" fontId="0" fillId="0" borderId="11" xfId="0" applyNumberFormat="1" applyBorder="1" applyAlignment="1">
      <alignment/>
    </xf>
    <xf numFmtId="1" fontId="0" fillId="42" borderId="21" xfId="0" applyNumberFormat="1" applyFill="1" applyBorder="1" applyAlignment="1">
      <alignment/>
    </xf>
    <xf numFmtId="1" fontId="2" fillId="42" borderId="20" xfId="0" applyNumberFormat="1" applyFont="1" applyFill="1" applyBorder="1" applyAlignment="1">
      <alignment horizontal="center"/>
    </xf>
    <xf numFmtId="1" fontId="0" fillId="42" borderId="24" xfId="0" applyNumberFormat="1" applyFont="1" applyFill="1" applyBorder="1" applyAlignment="1">
      <alignment horizontal="center"/>
    </xf>
    <xf numFmtId="1" fontId="0" fillId="42" borderId="16" xfId="0" applyNumberFormat="1" applyFill="1" applyBorder="1" applyAlignment="1">
      <alignment horizontal="center"/>
    </xf>
    <xf numFmtId="1" fontId="0" fillId="43" borderId="13" xfId="0" applyNumberFormat="1" applyFill="1" applyBorder="1" applyAlignment="1">
      <alignment/>
    </xf>
    <xf numFmtId="1" fontId="2" fillId="43" borderId="11" xfId="0" applyNumberFormat="1" applyFont="1" applyFill="1" applyBorder="1" applyAlignment="1">
      <alignment horizontal="center"/>
    </xf>
    <xf numFmtId="1" fontId="0" fillId="43" borderId="12" xfId="0" applyNumberFormat="1" applyFill="1" applyBorder="1" applyAlignment="1">
      <alignment horizontal="center"/>
    </xf>
    <xf numFmtId="1" fontId="0" fillId="43" borderId="20" xfId="0" applyNumberFormat="1" applyFill="1" applyBorder="1" applyAlignment="1">
      <alignment horizontal="center"/>
    </xf>
    <xf numFmtId="1" fontId="0" fillId="43" borderId="30" xfId="0" applyNumberFormat="1" applyFill="1" applyBorder="1" applyAlignment="1">
      <alignment horizontal="center"/>
    </xf>
    <xf numFmtId="1" fontId="2" fillId="43" borderId="16" xfId="0" applyNumberFormat="1" applyFont="1" applyFill="1" applyBorder="1" applyAlignment="1" applyProtection="1">
      <alignment horizontal="center"/>
      <protection/>
    </xf>
    <xf numFmtId="1" fontId="0" fillId="43" borderId="24" xfId="0" applyNumberFormat="1" applyFill="1" applyBorder="1" applyAlignment="1">
      <alignment horizontal="center"/>
    </xf>
    <xf numFmtId="1" fontId="0" fillId="43" borderId="21" xfId="0" applyNumberFormat="1" applyFont="1" applyFill="1" applyBorder="1" applyAlignment="1">
      <alignment/>
    </xf>
    <xf numFmtId="1" fontId="2" fillId="43" borderId="20" xfId="0" applyNumberFormat="1" applyFont="1" applyFill="1" applyBorder="1" applyAlignment="1">
      <alignment horizontal="center"/>
    </xf>
    <xf numFmtId="1" fontId="0" fillId="43" borderId="24" xfId="0" applyNumberFormat="1" applyFont="1" applyFill="1" applyBorder="1" applyAlignment="1">
      <alignment horizontal="center"/>
    </xf>
    <xf numFmtId="1" fontId="0" fillId="43" borderId="21" xfId="0" applyNumberFormat="1" applyFill="1" applyBorder="1" applyAlignment="1">
      <alignment/>
    </xf>
    <xf numFmtId="1" fontId="2" fillId="43" borderId="20" xfId="0" applyNumberFormat="1" applyFont="1" applyFill="1" applyBorder="1" applyAlignment="1">
      <alignment horizontal="center"/>
    </xf>
    <xf numFmtId="1" fontId="2" fillId="43" borderId="22" xfId="0" applyNumberFormat="1" applyFont="1" applyFill="1" applyBorder="1" applyAlignment="1">
      <alignment horizontal="center"/>
    </xf>
    <xf numFmtId="1" fontId="15" fillId="45" borderId="16" xfId="0" applyNumberFormat="1" applyFont="1" applyFill="1" applyBorder="1" applyAlignment="1">
      <alignment horizontal="center"/>
    </xf>
    <xf numFmtId="0" fontId="1" fillId="40" borderId="17" xfId="0" applyFont="1" applyFill="1" applyBorder="1" applyAlignment="1">
      <alignment horizontal="center"/>
    </xf>
    <xf numFmtId="0" fontId="1" fillId="40" borderId="14" xfId="0" applyFont="1" applyFill="1" applyBorder="1" applyAlignment="1">
      <alignment horizontal="center"/>
    </xf>
    <xf numFmtId="0" fontId="1" fillId="39" borderId="17" xfId="0" applyFont="1" applyFill="1" applyBorder="1" applyAlignment="1">
      <alignment horizontal="center"/>
    </xf>
    <xf numFmtId="0" fontId="1" fillId="39" borderId="14" xfId="0" applyFont="1" applyFill="1" applyBorder="1" applyAlignment="1">
      <alignment horizontal="center"/>
    </xf>
    <xf numFmtId="0" fontId="17" fillId="40" borderId="16" xfId="0" applyFont="1" applyFill="1" applyBorder="1" applyAlignment="1">
      <alignment horizontal="center"/>
    </xf>
    <xf numFmtId="0" fontId="17" fillId="39" borderId="16" xfId="0" applyFont="1" applyFill="1" applyBorder="1" applyAlignment="1">
      <alignment horizontal="center"/>
    </xf>
    <xf numFmtId="0" fontId="10" fillId="0" borderId="0" xfId="0" applyFont="1" applyAlignment="1">
      <alignment horizontal="center"/>
    </xf>
    <xf numFmtId="1" fontId="0" fillId="42" borderId="13" xfId="0" applyNumberFormat="1" applyFill="1" applyBorder="1" applyAlignment="1">
      <alignment horizontal="center" vertical="center" wrapText="1"/>
    </xf>
    <xf numFmtId="1" fontId="0" fillId="42" borderId="22" xfId="0" applyNumberFormat="1" applyFill="1" applyBorder="1" applyAlignment="1">
      <alignment horizontal="center" vertical="center" wrapText="1"/>
    </xf>
    <xf numFmtId="0" fontId="2" fillId="0" borderId="11" xfId="0" applyFont="1" applyBorder="1" applyAlignment="1">
      <alignment horizontal="center"/>
    </xf>
    <xf numFmtId="0" fontId="2" fillId="0" borderId="0" xfId="0" applyFont="1" applyBorder="1" applyAlignment="1">
      <alignment horizontal="center"/>
    </xf>
    <xf numFmtId="0" fontId="2" fillId="39" borderId="0" xfId="0" applyFont="1" applyFill="1" applyAlignment="1">
      <alignment horizontal="left"/>
    </xf>
    <xf numFmtId="0" fontId="23" fillId="0" borderId="0" xfId="0" applyFont="1" applyAlignment="1">
      <alignment horizontal="center"/>
    </xf>
    <xf numFmtId="0" fontId="1" fillId="39" borderId="31" xfId="0" applyFont="1" applyFill="1" applyBorder="1" applyAlignment="1">
      <alignment horizontal="center"/>
    </xf>
    <xf numFmtId="0" fontId="1" fillId="39" borderId="27" xfId="0" applyFont="1" applyFill="1" applyBorder="1" applyAlignment="1">
      <alignment horizontal="center"/>
    </xf>
    <xf numFmtId="0" fontId="1" fillId="40" borderId="31" xfId="0" applyFont="1" applyFill="1" applyBorder="1" applyAlignment="1">
      <alignment horizontal="center"/>
    </xf>
    <xf numFmtId="0" fontId="1" fillId="40" borderId="27" xfId="0" applyFont="1" applyFill="1" applyBorder="1" applyAlignment="1">
      <alignment horizontal="center"/>
    </xf>
    <xf numFmtId="0" fontId="15" fillId="40" borderId="15" xfId="0" applyFont="1" applyFill="1" applyBorder="1" applyAlignment="1" applyProtection="1">
      <alignment horizontal="center"/>
      <protection locked="0"/>
    </xf>
    <xf numFmtId="0" fontId="15" fillId="40" borderId="32" xfId="0" applyFont="1" applyFill="1" applyBorder="1" applyAlignment="1" applyProtection="1">
      <alignment horizontal="center"/>
      <protection locked="0"/>
    </xf>
    <xf numFmtId="0" fontId="15" fillId="39" borderId="19" xfId="0" applyFont="1" applyFill="1" applyBorder="1" applyAlignment="1" applyProtection="1">
      <alignment horizontal="center"/>
      <protection locked="0"/>
    </xf>
    <xf numFmtId="0" fontId="15" fillId="39" borderId="20" xfId="0" applyFont="1" applyFill="1" applyBorder="1" applyAlignment="1" applyProtection="1">
      <alignment horizontal="center"/>
      <protection locked="0"/>
    </xf>
    <xf numFmtId="0" fontId="15" fillId="40" borderId="19" xfId="0" applyFont="1" applyFill="1" applyBorder="1" applyAlignment="1" applyProtection="1">
      <alignment horizontal="center"/>
      <protection locked="0"/>
    </xf>
    <xf numFmtId="0" fontId="15" fillId="40" borderId="20" xfId="0" applyFont="1" applyFill="1" applyBorder="1" applyAlignment="1" applyProtection="1">
      <alignment horizontal="center"/>
      <protection locked="0"/>
    </xf>
    <xf numFmtId="0" fontId="1" fillId="40" borderId="15" xfId="0" applyFont="1" applyFill="1" applyBorder="1" applyAlignment="1">
      <alignment horizontal="center"/>
    </xf>
    <xf numFmtId="0" fontId="1" fillId="40" borderId="32" xfId="0" applyFont="1" applyFill="1" applyBorder="1" applyAlignment="1">
      <alignment horizontal="center"/>
    </xf>
    <xf numFmtId="0" fontId="1" fillId="39" borderId="15" xfId="0" applyFont="1" applyFill="1" applyBorder="1" applyAlignment="1">
      <alignment horizontal="center"/>
    </xf>
    <xf numFmtId="0" fontId="1" fillId="39" borderId="32" xfId="0" applyFont="1" applyFill="1" applyBorder="1" applyAlignment="1">
      <alignment horizontal="center"/>
    </xf>
    <xf numFmtId="0" fontId="1" fillId="39" borderId="31" xfId="0" applyFont="1" applyFill="1" applyBorder="1" applyAlignment="1">
      <alignment horizontal="center" vertical="center"/>
    </xf>
    <xf numFmtId="0" fontId="1" fillId="39" borderId="27" xfId="0" applyFont="1" applyFill="1" applyBorder="1" applyAlignment="1">
      <alignment horizontal="center" vertical="center"/>
    </xf>
    <xf numFmtId="0" fontId="1" fillId="40" borderId="31" xfId="0" applyFont="1" applyFill="1" applyBorder="1" applyAlignment="1">
      <alignment horizontal="center" vertical="center"/>
    </xf>
    <xf numFmtId="0" fontId="1" fillId="40" borderId="27" xfId="0" applyFont="1" applyFill="1" applyBorder="1" applyAlignment="1">
      <alignment horizontal="center" vertical="center"/>
    </xf>
    <xf numFmtId="0" fontId="6" fillId="0" borderId="18" xfId="74" applyBorder="1" applyAlignment="1" applyProtection="1">
      <alignment horizontal="center"/>
      <protection/>
    </xf>
    <xf numFmtId="0" fontId="15" fillId="39" borderId="15" xfId="0" applyFont="1" applyFill="1" applyBorder="1" applyAlignment="1" applyProtection="1">
      <alignment horizontal="center"/>
      <protection locked="0"/>
    </xf>
    <xf numFmtId="0" fontId="15" fillId="39" borderId="32" xfId="0" applyFont="1" applyFill="1" applyBorder="1" applyAlignment="1" applyProtection="1">
      <alignment horizontal="center"/>
      <protection locked="0"/>
    </xf>
    <xf numFmtId="0" fontId="0" fillId="0" borderId="11" xfId="0" applyBorder="1" applyAlignment="1">
      <alignment horizontal="center"/>
    </xf>
    <xf numFmtId="0" fontId="0" fillId="41" borderId="13" xfId="0" applyFill="1" applyBorder="1" applyAlignment="1">
      <alignment horizontal="center" vertical="center" wrapText="1"/>
    </xf>
    <xf numFmtId="0" fontId="0" fillId="41" borderId="22" xfId="0" applyFill="1" applyBorder="1" applyAlignment="1">
      <alignment horizontal="center" vertical="center" wrapText="1"/>
    </xf>
    <xf numFmtId="0" fontId="15" fillId="39" borderId="33" xfId="0" applyFont="1" applyFill="1" applyBorder="1" applyAlignment="1" applyProtection="1">
      <alignment horizontal="center"/>
      <protection locked="0"/>
    </xf>
    <xf numFmtId="0" fontId="15" fillId="39" borderId="34" xfId="0" applyFont="1" applyFill="1" applyBorder="1" applyAlignment="1" applyProtection="1">
      <alignment horizontal="center"/>
      <protection locked="0"/>
    </xf>
    <xf numFmtId="0" fontId="6" fillId="0" borderId="0" xfId="74" applyBorder="1" applyAlignment="1" applyProtection="1">
      <alignment horizontal="center"/>
      <protection/>
    </xf>
    <xf numFmtId="0" fontId="19" fillId="0" borderId="0" xfId="0" applyFont="1" applyAlignment="1">
      <alignment horizontal="center"/>
    </xf>
    <xf numFmtId="0" fontId="0" fillId="0" borderId="0" xfId="0" applyAlignment="1">
      <alignment horizontal="right"/>
    </xf>
    <xf numFmtId="0" fontId="17" fillId="39" borderId="19" xfId="0" applyFont="1" applyFill="1" applyBorder="1" applyAlignment="1">
      <alignment horizontal="center"/>
    </xf>
    <xf numFmtId="0" fontId="17" fillId="39" borderId="20" xfId="0" applyFont="1" applyFill="1" applyBorder="1" applyAlignment="1">
      <alignment horizontal="center"/>
    </xf>
    <xf numFmtId="0" fontId="17" fillId="40" borderId="19" xfId="0" applyFont="1" applyFill="1" applyBorder="1" applyAlignment="1">
      <alignment horizontal="center"/>
    </xf>
    <xf numFmtId="0" fontId="17" fillId="40" borderId="20" xfId="0" applyFont="1" applyFill="1" applyBorder="1" applyAlignment="1">
      <alignment horizontal="center"/>
    </xf>
    <xf numFmtId="0" fontId="0" fillId="41" borderId="17" xfId="0" applyFill="1" applyBorder="1" applyAlignment="1">
      <alignment horizontal="center" vertical="center" wrapText="1"/>
    </xf>
    <xf numFmtId="0" fontId="0" fillId="41" borderId="19" xfId="0" applyFill="1" applyBorder="1" applyAlignment="1">
      <alignment horizontal="center" vertical="center" wrapText="1"/>
    </xf>
    <xf numFmtId="0" fontId="17" fillId="40" borderId="15" xfId="0" applyFont="1" applyFill="1" applyBorder="1" applyAlignment="1">
      <alignment horizontal="center"/>
    </xf>
    <xf numFmtId="0" fontId="17" fillId="40" borderId="32" xfId="0" applyFont="1" applyFill="1" applyBorder="1" applyAlignment="1">
      <alignment horizontal="center"/>
    </xf>
    <xf numFmtId="0" fontId="17" fillId="39" borderId="15" xfId="0" applyFont="1" applyFill="1" applyBorder="1" applyAlignment="1">
      <alignment horizontal="center"/>
    </xf>
    <xf numFmtId="0" fontId="17" fillId="39" borderId="32" xfId="0" applyFont="1" applyFill="1" applyBorder="1" applyAlignment="1">
      <alignment horizontal="center"/>
    </xf>
    <xf numFmtId="0" fontId="1" fillId="39" borderId="18" xfId="0" applyFont="1" applyFill="1" applyBorder="1" applyAlignment="1">
      <alignment horizontal="center"/>
    </xf>
    <xf numFmtId="0" fontId="1" fillId="40" borderId="35" xfId="0" applyFont="1" applyFill="1" applyBorder="1" applyAlignment="1">
      <alignment horizontal="center"/>
    </xf>
    <xf numFmtId="0" fontId="1" fillId="39" borderId="35" xfId="0" applyFont="1" applyFill="1" applyBorder="1" applyAlignment="1">
      <alignment horizontal="center"/>
    </xf>
    <xf numFmtId="0" fontId="0" fillId="43" borderId="13" xfId="0" applyFont="1" applyFill="1" applyBorder="1" applyAlignment="1">
      <alignment horizontal="center" vertical="center" wrapText="1"/>
    </xf>
    <xf numFmtId="0" fontId="0" fillId="43" borderId="22" xfId="0" applyFont="1" applyFill="1" applyBorder="1" applyAlignment="1">
      <alignment horizontal="center" vertical="center" wrapText="1"/>
    </xf>
    <xf numFmtId="0" fontId="0" fillId="43" borderId="13" xfId="0" applyFill="1" applyBorder="1" applyAlignment="1">
      <alignment horizontal="center" vertical="center" wrapText="1"/>
    </xf>
    <xf numFmtId="0" fontId="0" fillId="43" borderId="22" xfId="0" applyFill="1" applyBorder="1" applyAlignment="1">
      <alignment horizontal="center" vertical="center" wrapText="1"/>
    </xf>
    <xf numFmtId="0" fontId="0" fillId="41" borderId="16" xfId="0" applyFill="1" applyBorder="1" applyAlignment="1">
      <alignment horizontal="right"/>
    </xf>
    <xf numFmtId="0" fontId="0" fillId="46" borderId="16" xfId="0" applyFill="1" applyBorder="1" applyAlignment="1">
      <alignment horizontal="center"/>
    </xf>
    <xf numFmtId="0" fontId="15" fillId="39" borderId="33" xfId="0" applyFont="1" applyFill="1" applyBorder="1" applyAlignment="1" applyProtection="1">
      <alignment horizontal="center"/>
      <protection/>
    </xf>
    <xf numFmtId="0" fontId="15" fillId="39" borderId="34" xfId="0" applyFont="1" applyFill="1" applyBorder="1" applyAlignment="1" applyProtection="1">
      <alignment horizontal="center"/>
      <protection/>
    </xf>
    <xf numFmtId="0" fontId="15" fillId="39" borderId="15" xfId="0" applyFont="1" applyFill="1" applyBorder="1" applyAlignment="1" applyProtection="1">
      <alignment horizontal="center"/>
      <protection/>
    </xf>
    <xf numFmtId="0" fontId="15" fillId="39" borderId="32" xfId="0" applyFont="1" applyFill="1" applyBorder="1" applyAlignment="1" applyProtection="1">
      <alignment horizontal="center"/>
      <protection/>
    </xf>
    <xf numFmtId="1" fontId="0" fillId="43" borderId="13" xfId="0" applyNumberFormat="1" applyFill="1" applyBorder="1" applyAlignment="1">
      <alignment horizontal="center" vertical="center" wrapText="1"/>
    </xf>
    <xf numFmtId="1" fontId="0" fillId="43" borderId="22" xfId="0" applyNumberFormat="1" applyFill="1" applyBorder="1" applyAlignment="1">
      <alignment horizontal="center" vertical="center" wrapText="1"/>
    </xf>
    <xf numFmtId="1" fontId="0" fillId="43" borderId="13" xfId="0" applyNumberFormat="1" applyFont="1" applyFill="1" applyBorder="1" applyAlignment="1">
      <alignment horizontal="center" vertical="center" wrapText="1"/>
    </xf>
    <xf numFmtId="1" fontId="0" fillId="43" borderId="22" xfId="0" applyNumberFormat="1" applyFont="1" applyFill="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Linked Cell" xfId="76"/>
    <cellStyle name="Neutral" xfId="77"/>
    <cellStyle name="Note" xfId="78"/>
    <cellStyle name="Output" xfId="79"/>
    <cellStyle name="Percent" xfId="80"/>
    <cellStyle name="Sheet Title"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104775</xdr:rowOff>
    </xdr:from>
    <xdr:to>
      <xdr:col>8</xdr:col>
      <xdr:colOff>219075</xdr:colOff>
      <xdr:row>64</xdr:row>
      <xdr:rowOff>47625</xdr:rowOff>
    </xdr:to>
    <xdr:sp>
      <xdr:nvSpPr>
        <xdr:cNvPr id="1" name="Text Box 1"/>
        <xdr:cNvSpPr txBox="1">
          <a:spLocks noChangeArrowheads="1"/>
        </xdr:cNvSpPr>
      </xdr:nvSpPr>
      <xdr:spPr>
        <a:xfrm>
          <a:off x="38100" y="9801225"/>
          <a:ext cx="5133975" cy="1266825"/>
        </a:xfrm>
        <a:prstGeom prst="rect">
          <a:avLst/>
        </a:prstGeom>
        <a:solidFill>
          <a:srgbClr val="FFFFFF"/>
        </a:solidFill>
        <a:ln w="9525" cmpd="sng">
          <a:noFill/>
        </a:ln>
      </xdr:spPr>
      <xdr:txBody>
        <a:bodyPr vertOverflow="clip" wrap="square" lIns="25400" tIns="0" rIns="25400" bIns="0"/>
        <a:p>
          <a:pPr algn="l">
            <a:defRPr/>
          </a:pPr>
          <a:r>
            <a:rPr lang="en-US" cap="none" sz="1000" b="0" i="0" u="none" baseline="0">
              <a:solidFill>
                <a:srgbClr val="000000"/>
              </a:solidFill>
              <a:latin typeface="Arial"/>
              <a:ea typeface="Arial"/>
              <a:cs typeface="Arial"/>
            </a:rPr>
            <a:t>“The data, while believed to be accurate and based on analytical methods 
</a:t>
          </a:r>
          <a:r>
            <a:rPr lang="en-US" cap="none" sz="1000" b="0" i="0" u="none" baseline="0">
              <a:solidFill>
                <a:srgbClr val="000000"/>
              </a:solidFill>
              <a:latin typeface="Arial"/>
              <a:ea typeface="Arial"/>
              <a:cs typeface="Arial"/>
            </a:rPr>
            <a:t>considered to be reliable, is for information purposes only.
</a:t>
          </a:r>
          <a:r>
            <a:rPr lang="en-US" cap="none" sz="1000" b="0" i="0" u="none" baseline="0">
              <a:solidFill>
                <a:srgbClr val="000000"/>
              </a:solidFill>
              <a:latin typeface="Arial"/>
              <a:ea typeface="Arial"/>
              <a:cs typeface="Arial"/>
            </a:rPr>
            <a:t>Any sales of these products will be governed by the terms and conditions
</a:t>
          </a:r>
          <a:r>
            <a:rPr lang="en-US" cap="none" sz="1000" b="0" i="0" u="none" baseline="0">
              <a:solidFill>
                <a:srgbClr val="000000"/>
              </a:solidFill>
              <a:latin typeface="Arial"/>
              <a:ea typeface="Arial"/>
              <a:cs typeface="Arial"/>
            </a:rPr>
            <a:t> of the agreement under which they are sold.”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Design Bulletin # 
</a:t>
          </a:r>
          <a:r>
            <a:rPr lang="en-US" cap="none" sz="1000" b="0" i="0" u="none" baseline="0">
              <a:solidFill>
                <a:srgbClr val="000000"/>
              </a:solidFill>
              <a:latin typeface="Arial"/>
              <a:ea typeface="Arial"/>
              <a:cs typeface="Arial"/>
            </a:rPr>
            <a:t>©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59</xdr:row>
      <xdr:rowOff>0</xdr:rowOff>
    </xdr:from>
    <xdr:to>
      <xdr:col>8</xdr:col>
      <xdr:colOff>304800</xdr:colOff>
      <xdr:row>67</xdr:row>
      <xdr:rowOff>152400</xdr:rowOff>
    </xdr:to>
    <xdr:sp>
      <xdr:nvSpPr>
        <xdr:cNvPr id="1" name="Text Box 1"/>
        <xdr:cNvSpPr txBox="1">
          <a:spLocks noChangeArrowheads="1"/>
        </xdr:cNvSpPr>
      </xdr:nvSpPr>
      <xdr:spPr>
        <a:xfrm>
          <a:off x="123825" y="10096500"/>
          <a:ext cx="5133975" cy="1495425"/>
        </a:xfrm>
        <a:prstGeom prst="rect">
          <a:avLst/>
        </a:prstGeom>
        <a:solidFill>
          <a:srgbClr val="FFFFFF"/>
        </a:solidFill>
        <a:ln w="9525" cmpd="sng">
          <a:noFill/>
        </a:ln>
      </xdr:spPr>
      <xdr:txBody>
        <a:bodyPr vertOverflow="clip" wrap="square" lIns="25400" tIns="0" rIns="25400" bIns="0"/>
        <a:p>
          <a:pPr algn="l">
            <a:defRPr/>
          </a:pPr>
          <a:r>
            <a:rPr lang="en-US" cap="none" sz="1000" b="0" i="0" u="none" baseline="0">
              <a:solidFill>
                <a:srgbClr val="000000"/>
              </a:solidFill>
              <a:latin typeface="Arial"/>
              <a:ea typeface="Arial"/>
              <a:cs typeface="Arial"/>
            </a:rPr>
            <a:t>“The data, while believed to be accurate and based on analytical methods 
</a:t>
          </a:r>
          <a:r>
            <a:rPr lang="en-US" cap="none" sz="1000" b="0" i="0" u="none" baseline="0">
              <a:solidFill>
                <a:srgbClr val="000000"/>
              </a:solidFill>
              <a:latin typeface="Arial"/>
              <a:ea typeface="Arial"/>
              <a:cs typeface="Arial"/>
            </a:rPr>
            <a:t>considered to be reliable, is for information purposes only.
</a:t>
          </a:r>
          <a:r>
            <a:rPr lang="en-US" cap="none" sz="1000" b="0" i="0" u="none" baseline="0">
              <a:solidFill>
                <a:srgbClr val="000000"/>
              </a:solidFill>
              <a:latin typeface="Arial"/>
              <a:ea typeface="Arial"/>
              <a:cs typeface="Arial"/>
            </a:rPr>
            <a:t>Any sales of these products will be governed by the terms and conditions
</a:t>
          </a:r>
          <a:r>
            <a:rPr lang="en-US" cap="none" sz="1000" b="0" i="0" u="none" baseline="0">
              <a:solidFill>
                <a:srgbClr val="000000"/>
              </a:solidFill>
              <a:latin typeface="Arial"/>
              <a:ea typeface="Arial"/>
              <a:cs typeface="Arial"/>
            </a:rPr>
            <a:t> of the agreement under which they are sold.”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Design Bulletin # 
</a:t>
          </a:r>
          <a:r>
            <a:rPr lang="en-US" cap="none" sz="1000" b="0" i="0" u="none" baseline="0">
              <a:solidFill>
                <a:srgbClr val="000000"/>
              </a:solidFill>
              <a:latin typeface="Arial"/>
              <a:ea typeface="Arial"/>
              <a:cs typeface="Arial"/>
            </a:rPr>
            <a:t>© 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123825</xdr:rowOff>
    </xdr:from>
    <xdr:to>
      <xdr:col>8</xdr:col>
      <xdr:colOff>180975</xdr:colOff>
      <xdr:row>55</xdr:row>
      <xdr:rowOff>152400</xdr:rowOff>
    </xdr:to>
    <xdr:sp>
      <xdr:nvSpPr>
        <xdr:cNvPr id="1" name="Text Box 1"/>
        <xdr:cNvSpPr txBox="1">
          <a:spLocks noChangeArrowheads="1"/>
        </xdr:cNvSpPr>
      </xdr:nvSpPr>
      <xdr:spPr>
        <a:xfrm>
          <a:off x="0" y="8334375"/>
          <a:ext cx="5133975" cy="1304925"/>
        </a:xfrm>
        <a:prstGeom prst="rect">
          <a:avLst/>
        </a:prstGeom>
        <a:solidFill>
          <a:srgbClr val="FFFFFF"/>
        </a:solidFill>
        <a:ln w="9525" cmpd="sng">
          <a:noFill/>
        </a:ln>
      </xdr:spPr>
      <xdr:txBody>
        <a:bodyPr vertOverflow="clip" wrap="square" lIns="25400" tIns="0" rIns="25400" bIns="0"/>
        <a:p>
          <a:pPr algn="l">
            <a:defRPr/>
          </a:pPr>
          <a:r>
            <a:rPr lang="en-US" cap="none" sz="1000" b="0" i="0" u="none" baseline="0">
              <a:solidFill>
                <a:srgbClr val="000000"/>
              </a:solidFill>
              <a:latin typeface="Arial"/>
              <a:ea typeface="Arial"/>
              <a:cs typeface="Arial"/>
            </a:rPr>
            <a:t>“The data, while believed to be accurate and based on analytical methods 
</a:t>
          </a:r>
          <a:r>
            <a:rPr lang="en-US" cap="none" sz="1000" b="0" i="0" u="none" baseline="0">
              <a:solidFill>
                <a:srgbClr val="000000"/>
              </a:solidFill>
              <a:latin typeface="Arial"/>
              <a:ea typeface="Arial"/>
              <a:cs typeface="Arial"/>
            </a:rPr>
            <a:t>considered to be reliable, is for information purposes only.
</a:t>
          </a:r>
          <a:r>
            <a:rPr lang="en-US" cap="none" sz="1000" b="0" i="0" u="none" baseline="0">
              <a:solidFill>
                <a:srgbClr val="000000"/>
              </a:solidFill>
              <a:latin typeface="Arial"/>
              <a:ea typeface="Arial"/>
              <a:cs typeface="Arial"/>
            </a:rPr>
            <a:t>Any sales of these products will be governed by the terms and conditions
</a:t>
          </a:r>
          <a:r>
            <a:rPr lang="en-US" cap="none" sz="1000" b="0" i="0" u="none" baseline="0">
              <a:solidFill>
                <a:srgbClr val="000000"/>
              </a:solidFill>
              <a:latin typeface="Arial"/>
              <a:ea typeface="Arial"/>
              <a:cs typeface="Arial"/>
            </a:rPr>
            <a:t> of the agreement under which they are sold.”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Design Bulletin # 
</a:t>
          </a:r>
          <a:r>
            <a:rPr lang="en-US" cap="none" sz="1000" b="0" i="0" u="none" baseline="0">
              <a:solidFill>
                <a:srgbClr val="000000"/>
              </a:solidFill>
              <a:latin typeface="Arial"/>
              <a:ea typeface="Arial"/>
              <a:cs typeface="Arial"/>
            </a:rPr>
            <a:t>© 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123825</xdr:rowOff>
    </xdr:from>
    <xdr:to>
      <xdr:col>8</xdr:col>
      <xdr:colOff>180975</xdr:colOff>
      <xdr:row>55</xdr:row>
      <xdr:rowOff>152400</xdr:rowOff>
    </xdr:to>
    <xdr:sp>
      <xdr:nvSpPr>
        <xdr:cNvPr id="1" name="Text Box 1"/>
        <xdr:cNvSpPr txBox="1">
          <a:spLocks noChangeArrowheads="1"/>
        </xdr:cNvSpPr>
      </xdr:nvSpPr>
      <xdr:spPr>
        <a:xfrm>
          <a:off x="0" y="8334375"/>
          <a:ext cx="5133975" cy="1343025"/>
        </a:xfrm>
        <a:prstGeom prst="rect">
          <a:avLst/>
        </a:prstGeom>
        <a:solidFill>
          <a:srgbClr val="FFFFFF"/>
        </a:solidFill>
        <a:ln w="9525" cmpd="sng">
          <a:noFill/>
        </a:ln>
      </xdr:spPr>
      <xdr:txBody>
        <a:bodyPr vertOverflow="clip" wrap="square" lIns="25400" tIns="0" rIns="25400" bIns="0"/>
        <a:p>
          <a:pPr algn="l">
            <a:defRPr/>
          </a:pPr>
          <a:r>
            <a:rPr lang="en-US" cap="none" sz="1000" b="0" i="0" u="none" baseline="0">
              <a:solidFill>
                <a:srgbClr val="000000"/>
              </a:solidFill>
              <a:latin typeface="Arial"/>
              <a:ea typeface="Arial"/>
              <a:cs typeface="Arial"/>
            </a:rPr>
            <a:t>“The data, while believed to be accurate and based on analytical methods 
</a:t>
          </a:r>
          <a:r>
            <a:rPr lang="en-US" cap="none" sz="1000" b="0" i="0" u="none" baseline="0">
              <a:solidFill>
                <a:srgbClr val="000000"/>
              </a:solidFill>
              <a:latin typeface="Arial"/>
              <a:ea typeface="Arial"/>
              <a:cs typeface="Arial"/>
            </a:rPr>
            <a:t>considered to be reliable, is for information purposes only.
</a:t>
          </a:r>
          <a:r>
            <a:rPr lang="en-US" cap="none" sz="1000" b="0" i="0" u="none" baseline="0">
              <a:solidFill>
                <a:srgbClr val="000000"/>
              </a:solidFill>
              <a:latin typeface="Arial"/>
              <a:ea typeface="Arial"/>
              <a:cs typeface="Arial"/>
            </a:rPr>
            <a:t>Any sales of these products will be governed by the terms and conditions
</a:t>
          </a:r>
          <a:r>
            <a:rPr lang="en-US" cap="none" sz="1000" b="0" i="0" u="none" baseline="0">
              <a:solidFill>
                <a:srgbClr val="000000"/>
              </a:solidFill>
              <a:latin typeface="Arial"/>
              <a:ea typeface="Arial"/>
              <a:cs typeface="Arial"/>
            </a:rPr>
            <a:t> of the agreement under which they are sold.”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Design Bulletin # 
</a:t>
          </a:r>
          <a:r>
            <a:rPr lang="en-US" cap="none" sz="1000" b="0" i="0" u="none" baseline="0">
              <a:solidFill>
                <a:srgbClr val="000000"/>
              </a:solidFill>
              <a:latin typeface="Arial"/>
              <a:ea typeface="Arial"/>
              <a:cs typeface="Arial"/>
            </a:rPr>
            <a:t>©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2"/>
    <pageSetUpPr fitToPage="1"/>
  </sheetPr>
  <dimension ref="A1:AJ76"/>
  <sheetViews>
    <sheetView showGridLines="0" zoomScalePageLayoutView="0" workbookViewId="0" topLeftCell="A4">
      <selection activeCell="C11" sqref="C11:D11"/>
    </sheetView>
  </sheetViews>
  <sheetFormatPr defaultColWidth="9.140625" defaultRowHeight="12.75"/>
  <cols>
    <col min="1" max="1" width="2.140625" style="0" customWidth="1"/>
    <col min="2" max="2" width="23.8515625" style="0" customWidth="1"/>
    <col min="3" max="4" width="9.7109375" style="0" customWidth="1"/>
    <col min="5" max="5" width="4.7109375" style="0" customWidth="1"/>
    <col min="6" max="7" width="9.7109375" style="0" customWidth="1"/>
    <col min="8" max="8" width="4.7109375" style="0" customWidth="1"/>
    <col min="9" max="10" width="9.7109375" style="0" customWidth="1"/>
    <col min="11" max="11" width="4.7109375" style="0" customWidth="1"/>
    <col min="12" max="13" width="9.7109375" style="0" customWidth="1"/>
    <col min="14" max="14" width="4.7109375" style="0" customWidth="1"/>
    <col min="15" max="16" width="9.7109375" style="0" customWidth="1"/>
    <col min="17" max="17" width="4.7109375" style="0" customWidth="1"/>
    <col min="18" max="19" width="9.7109375" style="0" customWidth="1"/>
    <col min="20" max="20" width="4.7109375" style="0" customWidth="1"/>
    <col min="21" max="24" width="1.57421875" style="0" customWidth="1"/>
    <col min="25" max="25" width="7.421875" style="0" customWidth="1"/>
    <col min="26" max="26" width="72.140625" style="0" customWidth="1"/>
    <col min="27" max="27" width="10.28125" style="0" customWidth="1"/>
    <col min="28" max="28" width="10.8515625" style="0" bestFit="1" customWidth="1"/>
    <col min="30" max="30" width="9.140625" style="113" customWidth="1"/>
  </cols>
  <sheetData>
    <row r="1" spans="1:20" ht="15.75">
      <c r="A1" s="139" t="s">
        <v>100</v>
      </c>
      <c r="B1" s="139"/>
      <c r="C1" s="139"/>
      <c r="D1" s="139"/>
      <c r="E1" s="139"/>
      <c r="F1" s="139"/>
      <c r="G1" s="139"/>
      <c r="H1" s="139"/>
      <c r="I1" s="139"/>
      <c r="J1" s="139"/>
      <c r="K1" s="139"/>
      <c r="L1" s="139"/>
      <c r="M1" s="139"/>
      <c r="N1" s="139"/>
      <c r="O1" s="139"/>
      <c r="P1" s="139"/>
      <c r="Q1" s="139"/>
      <c r="R1" s="139"/>
      <c r="S1" s="139"/>
      <c r="T1" s="139"/>
    </row>
    <row r="2" spans="1:25" ht="15.75">
      <c r="A2" s="145" t="s">
        <v>125</v>
      </c>
      <c r="B2" s="145"/>
      <c r="C2" s="145"/>
      <c r="D2" s="145"/>
      <c r="E2" s="145"/>
      <c r="F2" s="145"/>
      <c r="G2" s="145"/>
      <c r="H2" s="145"/>
      <c r="I2" s="145"/>
      <c r="J2" s="145"/>
      <c r="K2" s="145"/>
      <c r="L2" s="145"/>
      <c r="M2" s="145"/>
      <c r="N2" s="145"/>
      <c r="O2" s="145"/>
      <c r="P2" s="145"/>
      <c r="Q2" s="145"/>
      <c r="R2" s="145"/>
      <c r="S2" s="145"/>
      <c r="T2" s="145"/>
      <c r="U2" s="107"/>
      <c r="V2" s="107"/>
      <c r="W2" s="107"/>
      <c r="X2" s="107"/>
      <c r="Y2" s="107"/>
    </row>
    <row r="3" spans="1:25" ht="15.75">
      <c r="A3" s="145" t="s">
        <v>144</v>
      </c>
      <c r="B3" s="145"/>
      <c r="C3" s="145"/>
      <c r="D3" s="145"/>
      <c r="E3" s="145"/>
      <c r="F3" s="145"/>
      <c r="G3" s="145"/>
      <c r="H3" s="145"/>
      <c r="I3" s="145"/>
      <c r="J3" s="145"/>
      <c r="K3" s="145"/>
      <c r="L3" s="145"/>
      <c r="M3" s="145"/>
      <c r="N3" s="145"/>
      <c r="O3" s="145"/>
      <c r="P3" s="145"/>
      <c r="Q3" s="145"/>
      <c r="R3" s="145"/>
      <c r="S3" s="145"/>
      <c r="T3" s="78"/>
      <c r="U3" s="78"/>
      <c r="V3" s="78"/>
      <c r="W3" s="78"/>
      <c r="X3" s="78"/>
      <c r="Y3" s="78"/>
    </row>
    <row r="4" spans="1:19" ht="13.5" thickBot="1">
      <c r="A4" s="144" t="s">
        <v>110</v>
      </c>
      <c r="B4" s="144"/>
      <c r="C4" s="144"/>
      <c r="D4" s="144"/>
      <c r="E4" s="144"/>
      <c r="F4" s="144"/>
      <c r="G4" s="144"/>
      <c r="H4" s="144"/>
      <c r="I4" s="144"/>
      <c r="J4" s="144"/>
      <c r="K4" s="144"/>
      <c r="L4" s="144"/>
      <c r="M4" s="144"/>
      <c r="N4" s="144"/>
      <c r="O4" s="144"/>
      <c r="P4" s="144"/>
      <c r="Q4" s="144"/>
      <c r="R4" s="144"/>
      <c r="S4" s="144"/>
    </row>
    <row r="5" spans="27:36" ht="13.5" thickBot="1">
      <c r="AA5" s="56" t="s">
        <v>0</v>
      </c>
      <c r="AB5" s="2"/>
      <c r="AC5" s="2"/>
      <c r="AD5" s="114"/>
      <c r="AE5" s="2"/>
      <c r="AH5" s="2"/>
      <c r="AI5" s="2"/>
      <c r="AJ5" s="2"/>
    </row>
    <row r="6" spans="2:36" ht="12.75">
      <c r="B6" t="s">
        <v>126</v>
      </c>
      <c r="AA6" s="27"/>
      <c r="AB6" s="30"/>
      <c r="AC6" s="30"/>
      <c r="AD6" s="115"/>
      <c r="AE6" s="40"/>
      <c r="AF6" s="41"/>
      <c r="AG6" s="42"/>
      <c r="AH6" s="40"/>
      <c r="AI6" s="40"/>
      <c r="AJ6" s="43"/>
    </row>
    <row r="7" spans="2:36" ht="15.75">
      <c r="B7" t="s">
        <v>109</v>
      </c>
      <c r="AA7" s="58"/>
      <c r="AB7" s="31" t="s">
        <v>33</v>
      </c>
      <c r="AC7" s="32" t="s">
        <v>18</v>
      </c>
      <c r="AD7" s="116" t="s">
        <v>34</v>
      </c>
      <c r="AE7" s="44" t="s">
        <v>37</v>
      </c>
      <c r="AF7" s="45" t="s">
        <v>79</v>
      </c>
      <c r="AG7" s="46" t="s">
        <v>80</v>
      </c>
      <c r="AH7" s="47" t="s">
        <v>38</v>
      </c>
      <c r="AI7" s="47" t="s">
        <v>39</v>
      </c>
      <c r="AJ7" s="47" t="s">
        <v>19</v>
      </c>
    </row>
    <row r="8" spans="27:36" ht="12.75">
      <c r="AA8" s="28" t="s">
        <v>20</v>
      </c>
      <c r="AB8" s="33" t="s">
        <v>21</v>
      </c>
      <c r="AC8" s="34" t="s">
        <v>22</v>
      </c>
      <c r="AD8" s="140" t="s">
        <v>36</v>
      </c>
      <c r="AE8" s="48" t="s">
        <v>23</v>
      </c>
      <c r="AF8" s="48" t="s">
        <v>81</v>
      </c>
      <c r="AG8" s="48" t="s">
        <v>81</v>
      </c>
      <c r="AH8" s="48" t="s">
        <v>24</v>
      </c>
      <c r="AI8" s="48" t="s">
        <v>24</v>
      </c>
      <c r="AJ8" s="48" t="s">
        <v>25</v>
      </c>
    </row>
    <row r="9" spans="2:36" ht="12.75">
      <c r="B9" s="142" t="s">
        <v>6</v>
      </c>
      <c r="C9" s="143"/>
      <c r="D9" s="143"/>
      <c r="E9" s="142"/>
      <c r="F9" s="142"/>
      <c r="G9" s="142"/>
      <c r="H9" s="142"/>
      <c r="I9" s="142"/>
      <c r="J9" s="142"/>
      <c r="K9" s="142"/>
      <c r="L9" s="142"/>
      <c r="M9" s="142"/>
      <c r="N9" s="142"/>
      <c r="O9" s="142"/>
      <c r="P9" s="142"/>
      <c r="Q9" s="142"/>
      <c r="R9" s="142"/>
      <c r="S9" s="142"/>
      <c r="AA9" s="1"/>
      <c r="AB9" s="35" t="s">
        <v>35</v>
      </c>
      <c r="AC9" s="36" t="s">
        <v>102</v>
      </c>
      <c r="AD9" s="141"/>
      <c r="AE9" s="49" t="s">
        <v>27</v>
      </c>
      <c r="AF9" s="49" t="s">
        <v>28</v>
      </c>
      <c r="AG9" s="49" t="s">
        <v>29</v>
      </c>
      <c r="AH9" s="49" t="s">
        <v>28</v>
      </c>
      <c r="AI9" s="49" t="s">
        <v>29</v>
      </c>
      <c r="AJ9" s="49" t="s">
        <v>30</v>
      </c>
    </row>
    <row r="10" spans="2:36" ht="16.5" thickBot="1">
      <c r="B10" s="15"/>
      <c r="C10" s="146" t="s">
        <v>9</v>
      </c>
      <c r="D10" s="147"/>
      <c r="E10" s="6"/>
      <c r="F10" s="148" t="s">
        <v>10</v>
      </c>
      <c r="G10" s="149"/>
      <c r="H10" s="4"/>
      <c r="I10" s="146" t="s">
        <v>11</v>
      </c>
      <c r="J10" s="147"/>
      <c r="K10" s="4"/>
      <c r="L10" s="148" t="s">
        <v>12</v>
      </c>
      <c r="M10" s="149"/>
      <c r="N10" s="4"/>
      <c r="O10" s="146" t="s">
        <v>13</v>
      </c>
      <c r="P10" s="147"/>
      <c r="Q10" s="4"/>
      <c r="R10" s="148" t="s">
        <v>14</v>
      </c>
      <c r="S10" s="149"/>
      <c r="AA10" s="59"/>
      <c r="AB10" s="37" t="s">
        <v>31</v>
      </c>
      <c r="AC10" s="38" t="s">
        <v>127</v>
      </c>
      <c r="AD10" s="117" t="s">
        <v>128</v>
      </c>
      <c r="AE10" s="50"/>
      <c r="AF10" s="50" t="s">
        <v>129</v>
      </c>
      <c r="AG10" s="84" t="s">
        <v>129</v>
      </c>
      <c r="AH10" s="50" t="s">
        <v>129</v>
      </c>
      <c r="AI10" s="50" t="s">
        <v>129</v>
      </c>
      <c r="AJ10" s="50" t="s">
        <v>32</v>
      </c>
    </row>
    <row r="11" spans="2:36" ht="12.75">
      <c r="B11" s="12" t="s">
        <v>82</v>
      </c>
      <c r="C11" s="152">
        <v>10</v>
      </c>
      <c r="D11" s="153"/>
      <c r="E11" s="3"/>
      <c r="F11" s="154">
        <v>25</v>
      </c>
      <c r="G11" s="155"/>
      <c r="H11" s="5"/>
      <c r="I11" s="152">
        <v>50</v>
      </c>
      <c r="J11" s="153"/>
      <c r="K11" s="5"/>
      <c r="L11" s="154">
        <v>100</v>
      </c>
      <c r="M11" s="155"/>
      <c r="N11" s="5"/>
      <c r="O11" s="152">
        <v>2500</v>
      </c>
      <c r="P11" s="153"/>
      <c r="Q11" s="5"/>
      <c r="R11" s="154">
        <v>5000</v>
      </c>
      <c r="S11" s="155"/>
      <c r="AA11" s="29">
        <v>1</v>
      </c>
      <c r="AB11" s="39">
        <v>25</v>
      </c>
      <c r="AC11" s="39">
        <f>0.344*POWER(AD11,-0.5478)</f>
        <v>0.0006623210015854112</v>
      </c>
      <c r="AD11" s="118">
        <f>($C$12/0.344)^(1/0.4522)</f>
        <v>90590.51405040271</v>
      </c>
      <c r="AE11" s="79">
        <f aca="true" t="shared" si="0" ref="AE11:AE16">$C$11/AB11</f>
        <v>0.4</v>
      </c>
      <c r="AF11" s="52">
        <f aca="true" t="shared" si="1" ref="AF11:AF16">($C$21+$C$22/AE11)*100/($C$13-4.9)</f>
        <v>871.5686274509804</v>
      </c>
      <c r="AG11" s="51">
        <f aca="true" t="shared" si="2" ref="AG11:AG16">AF11*AE11</f>
        <v>348.6274509803922</v>
      </c>
      <c r="AH11" s="53">
        <f aca="true" t="shared" si="3" ref="AH11:AH16">SQRT(AD11/AE11)</f>
        <v>475.8952459586109</v>
      </c>
      <c r="AI11" s="54">
        <f aca="true" t="shared" si="4" ref="AI11:AI16">(AH11*AE11)</f>
        <v>190.35809838344437</v>
      </c>
      <c r="AJ11" s="55">
        <f aca="true" t="shared" si="5" ref="AJ11:AJ16">(($C$21/AH11)+($C$22/AI11))*100+5</f>
        <v>14.340290826075169</v>
      </c>
    </row>
    <row r="12" spans="2:36" ht="12.75">
      <c r="B12" s="12" t="s">
        <v>83</v>
      </c>
      <c r="C12" s="165">
        <v>60</v>
      </c>
      <c r="D12" s="166"/>
      <c r="E12" s="3"/>
      <c r="F12" s="150">
        <v>60</v>
      </c>
      <c r="G12" s="151"/>
      <c r="H12" s="5"/>
      <c r="I12" s="165">
        <v>60</v>
      </c>
      <c r="J12" s="166"/>
      <c r="K12" s="5"/>
      <c r="L12" s="150">
        <v>60</v>
      </c>
      <c r="M12" s="151"/>
      <c r="N12" s="5"/>
      <c r="O12" s="165">
        <v>60</v>
      </c>
      <c r="P12" s="166"/>
      <c r="Q12" s="5"/>
      <c r="R12" s="150">
        <v>60</v>
      </c>
      <c r="S12" s="151"/>
      <c r="AA12" s="29">
        <v>2</v>
      </c>
      <c r="AB12" s="39">
        <v>50</v>
      </c>
      <c r="AC12" s="39">
        <f>0.275*POWER(AD12,-0.5478)</f>
        <v>0.0004037034378145836</v>
      </c>
      <c r="AD12" s="118">
        <f>($C$12/0.275)^(1/0.4522)</f>
        <v>148623.95109837365</v>
      </c>
      <c r="AE12" s="79">
        <f t="shared" si="0"/>
        <v>0.2</v>
      </c>
      <c r="AF12" s="52">
        <f t="shared" si="1"/>
        <v>1494.1176470588234</v>
      </c>
      <c r="AG12" s="51">
        <f t="shared" si="2"/>
        <v>298.8235294117647</v>
      </c>
      <c r="AH12" s="53">
        <f t="shared" si="3"/>
        <v>862.0439405806808</v>
      </c>
      <c r="AI12" s="54">
        <f t="shared" si="4"/>
        <v>172.40878811613618</v>
      </c>
      <c r="AJ12" s="55">
        <f t="shared" si="5"/>
        <v>13.839456599935145</v>
      </c>
    </row>
    <row r="13" spans="2:36" ht="12.75">
      <c r="B13" s="12" t="s">
        <v>84</v>
      </c>
      <c r="C13" s="165">
        <v>10</v>
      </c>
      <c r="D13" s="166"/>
      <c r="E13" s="80"/>
      <c r="F13" s="150">
        <v>10</v>
      </c>
      <c r="G13" s="151"/>
      <c r="H13" s="81"/>
      <c r="I13" s="165">
        <v>10</v>
      </c>
      <c r="J13" s="166"/>
      <c r="K13" s="81"/>
      <c r="L13" s="150">
        <v>15</v>
      </c>
      <c r="M13" s="151"/>
      <c r="N13" s="81"/>
      <c r="O13" s="165">
        <v>15</v>
      </c>
      <c r="P13" s="166"/>
      <c r="Q13" s="81"/>
      <c r="R13" s="150">
        <v>20</v>
      </c>
      <c r="S13" s="151"/>
      <c r="AA13" s="29">
        <v>3</v>
      </c>
      <c r="AB13" s="39">
        <v>75</v>
      </c>
      <c r="AC13" s="39">
        <f>0.275*POWER(AD13,-0.5478)</f>
        <v>0.0004037034378145836</v>
      </c>
      <c r="AD13" s="118">
        <f>($C$12/0.275)^(1/0.4522)</f>
        <v>148623.95109837365</v>
      </c>
      <c r="AE13" s="79">
        <f t="shared" si="0"/>
        <v>0.13333333333333333</v>
      </c>
      <c r="AF13" s="52">
        <f t="shared" si="1"/>
        <v>2116.666666666667</v>
      </c>
      <c r="AG13" s="51">
        <f t="shared" si="2"/>
        <v>282.2222222222223</v>
      </c>
      <c r="AH13" s="53">
        <f t="shared" si="3"/>
        <v>1055.7838951403844</v>
      </c>
      <c r="AI13" s="54">
        <f t="shared" si="4"/>
        <v>140.7711860187179</v>
      </c>
      <c r="AJ13" s="55">
        <f t="shared" si="5"/>
        <v>15.2246302957336</v>
      </c>
    </row>
    <row r="14" spans="8:36" ht="12.75">
      <c r="H14" s="164"/>
      <c r="I14" s="164"/>
      <c r="J14" s="164"/>
      <c r="K14" s="164"/>
      <c r="L14" s="164"/>
      <c r="M14" s="164"/>
      <c r="N14" s="164"/>
      <c r="O14" s="164"/>
      <c r="P14" s="164"/>
      <c r="S14" s="26"/>
      <c r="AA14" s="29">
        <v>4</v>
      </c>
      <c r="AB14" s="39">
        <v>100</v>
      </c>
      <c r="AC14" s="39">
        <f>0.206*POWER(AD14,-0.5478)</f>
        <v>0.00021311142577944822</v>
      </c>
      <c r="AD14" s="118">
        <f>($C$12/0.206)^(1/0.4522)</f>
        <v>281542.85853305104</v>
      </c>
      <c r="AE14" s="79">
        <f t="shared" si="0"/>
        <v>0.1</v>
      </c>
      <c r="AF14" s="52">
        <f t="shared" si="1"/>
        <v>2739.2156862745096</v>
      </c>
      <c r="AG14" s="51">
        <f t="shared" si="2"/>
        <v>273.921568627451</v>
      </c>
      <c r="AH14" s="53">
        <f t="shared" si="3"/>
        <v>1677.9238913998781</v>
      </c>
      <c r="AI14" s="54">
        <f t="shared" si="4"/>
        <v>167.79238913998782</v>
      </c>
      <c r="AJ14" s="55">
        <f t="shared" si="5"/>
        <v>13.325764995422375</v>
      </c>
    </row>
    <row r="15" spans="1:36" ht="12.75">
      <c r="A15" s="144" t="s">
        <v>108</v>
      </c>
      <c r="B15" s="144"/>
      <c r="C15" s="144"/>
      <c r="D15" s="144"/>
      <c r="E15" s="144"/>
      <c r="F15" s="144"/>
      <c r="G15" s="144"/>
      <c r="H15" s="144"/>
      <c r="I15" s="144"/>
      <c r="J15" s="144"/>
      <c r="K15" s="144"/>
      <c r="L15" s="144"/>
      <c r="M15" s="144"/>
      <c r="N15" s="144"/>
      <c r="O15" s="144"/>
      <c r="P15" s="144"/>
      <c r="Q15" s="144"/>
      <c r="R15" s="144"/>
      <c r="S15" s="144"/>
      <c r="AA15" s="29">
        <v>5</v>
      </c>
      <c r="AB15" s="39">
        <v>250</v>
      </c>
      <c r="AC15" s="39">
        <f>0.206*POWER(AD15,-0.5478)</f>
        <v>0.00021311142577944822</v>
      </c>
      <c r="AD15" s="118">
        <f>($C$12/0.206)^(1/0.4522)</f>
        <v>281542.85853305104</v>
      </c>
      <c r="AE15" s="79">
        <f t="shared" si="0"/>
        <v>0.04</v>
      </c>
      <c r="AF15" s="52">
        <f t="shared" si="1"/>
        <v>6474.509803921569</v>
      </c>
      <c r="AG15" s="51">
        <f t="shared" si="2"/>
        <v>258.98039215686276</v>
      </c>
      <c r="AH15" s="53">
        <f t="shared" si="3"/>
        <v>2653.0306186183143</v>
      </c>
      <c r="AI15" s="54">
        <f t="shared" si="4"/>
        <v>106.12122474473257</v>
      </c>
      <c r="AJ15" s="55">
        <f t="shared" si="5"/>
        <v>17.446143579449775</v>
      </c>
    </row>
    <row r="16" spans="27:36" ht="13.5" thickBot="1">
      <c r="AA16" s="29">
        <v>6</v>
      </c>
      <c r="AB16" s="39">
        <v>1000</v>
      </c>
      <c r="AC16" s="39">
        <f>0.325*POWER(AD16,-0.5478)</f>
        <v>0.0005841196044411982</v>
      </c>
      <c r="AD16" s="118">
        <f>($C$12/0.325)^(1/0.4522)</f>
        <v>102718.68902157355</v>
      </c>
      <c r="AE16" s="79">
        <f t="shared" si="0"/>
        <v>0.01</v>
      </c>
      <c r="AF16" s="52">
        <f t="shared" si="1"/>
        <v>25150.980392156864</v>
      </c>
      <c r="AG16" s="51">
        <f t="shared" si="2"/>
        <v>251.50980392156865</v>
      </c>
      <c r="AH16" s="53">
        <f t="shared" si="3"/>
        <v>3204.9756476699404</v>
      </c>
      <c r="AI16" s="54">
        <f t="shared" si="4"/>
        <v>32.04975647669941</v>
      </c>
      <c r="AJ16" s="55">
        <f t="shared" si="5"/>
        <v>45.022144971133855</v>
      </c>
    </row>
    <row r="17" spans="2:36" ht="13.5" thickBot="1">
      <c r="B17" t="s">
        <v>142</v>
      </c>
      <c r="AA17" s="57" t="s">
        <v>1</v>
      </c>
      <c r="AB17" s="2"/>
      <c r="AC17" s="2"/>
      <c r="AD17" s="114"/>
      <c r="AE17" s="2"/>
      <c r="AH17" s="2"/>
      <c r="AI17" s="2"/>
      <c r="AJ17" s="2"/>
    </row>
    <row r="18" spans="27:36" ht="12.75">
      <c r="AA18" s="27"/>
      <c r="AB18" s="30"/>
      <c r="AC18" s="30"/>
      <c r="AD18" s="115"/>
      <c r="AE18" s="40"/>
      <c r="AF18" s="41"/>
      <c r="AG18" s="42"/>
      <c r="AH18" s="40"/>
      <c r="AI18" s="40"/>
      <c r="AJ18" s="43"/>
    </row>
    <row r="19" spans="2:36" ht="14.25">
      <c r="B19" s="142" t="s">
        <v>8</v>
      </c>
      <c r="C19" s="167"/>
      <c r="D19" s="167"/>
      <c r="AA19" s="58"/>
      <c r="AB19" s="31" t="s">
        <v>33</v>
      </c>
      <c r="AC19" s="32" t="s">
        <v>18</v>
      </c>
      <c r="AD19" s="116" t="s">
        <v>34</v>
      </c>
      <c r="AE19" s="44" t="s">
        <v>37</v>
      </c>
      <c r="AF19" s="45" t="s">
        <v>79</v>
      </c>
      <c r="AG19" s="46" t="s">
        <v>80</v>
      </c>
      <c r="AH19" s="47" t="s">
        <v>38</v>
      </c>
      <c r="AI19" s="47" t="s">
        <v>39</v>
      </c>
      <c r="AJ19" s="47" t="s">
        <v>19</v>
      </c>
    </row>
    <row r="20" spans="2:36" ht="13.5" thickBot="1">
      <c r="B20" s="15"/>
      <c r="C20" s="146" t="s">
        <v>130</v>
      </c>
      <c r="D20" s="147"/>
      <c r="AA20" s="28" t="s">
        <v>20</v>
      </c>
      <c r="AB20" s="33" t="s">
        <v>21</v>
      </c>
      <c r="AC20" s="34" t="s">
        <v>22</v>
      </c>
      <c r="AD20" s="140" t="s">
        <v>36</v>
      </c>
      <c r="AE20" s="48" t="s">
        <v>23</v>
      </c>
      <c r="AF20" s="48" t="s">
        <v>81</v>
      </c>
      <c r="AG20" s="48" t="s">
        <v>81</v>
      </c>
      <c r="AH20" s="48" t="s">
        <v>24</v>
      </c>
      <c r="AI20" s="48" t="s">
        <v>24</v>
      </c>
      <c r="AJ20" s="48" t="s">
        <v>25</v>
      </c>
    </row>
    <row r="21" spans="2:36" ht="12.75">
      <c r="B21" s="12" t="s">
        <v>105</v>
      </c>
      <c r="C21" s="170">
        <v>12.7</v>
      </c>
      <c r="D21" s="171"/>
      <c r="AA21" s="1"/>
      <c r="AB21" s="35" t="s">
        <v>35</v>
      </c>
      <c r="AC21" s="36" t="s">
        <v>102</v>
      </c>
      <c r="AD21" s="141"/>
      <c r="AE21" s="49" t="s">
        <v>27</v>
      </c>
      <c r="AF21" s="49" t="s">
        <v>28</v>
      </c>
      <c r="AG21" s="49" t="s">
        <v>29</v>
      </c>
      <c r="AH21" s="49" t="s">
        <v>28</v>
      </c>
      <c r="AI21" s="49" t="s">
        <v>29</v>
      </c>
      <c r="AJ21" s="49" t="s">
        <v>30</v>
      </c>
    </row>
    <row r="22" spans="2:36" ht="13.5" thickBot="1">
      <c r="B22" s="12" t="s">
        <v>106</v>
      </c>
      <c r="C22" s="165">
        <v>12.7</v>
      </c>
      <c r="D22" s="166"/>
      <c r="AA22" s="59"/>
      <c r="AB22" s="37" t="s">
        <v>31</v>
      </c>
      <c r="AC22" s="38" t="s">
        <v>127</v>
      </c>
      <c r="AD22" s="117" t="s">
        <v>128</v>
      </c>
      <c r="AE22" s="50"/>
      <c r="AF22" s="50" t="s">
        <v>129</v>
      </c>
      <c r="AG22" s="50" t="s">
        <v>129</v>
      </c>
      <c r="AH22" s="50" t="s">
        <v>129</v>
      </c>
      <c r="AI22" s="50" t="s">
        <v>129</v>
      </c>
      <c r="AJ22" s="50" t="s">
        <v>32</v>
      </c>
    </row>
    <row r="23" spans="27:36" ht="13.5" thickTop="1">
      <c r="AA23" s="29">
        <v>1</v>
      </c>
      <c r="AB23" s="39">
        <v>25</v>
      </c>
      <c r="AC23" s="39">
        <f>0.344*POWER(AD23,-0.5478)</f>
        <v>0.0006623210015854112</v>
      </c>
      <c r="AD23" s="118">
        <f>($F$12/0.344)^(1/0.4522)</f>
        <v>90590.51405040271</v>
      </c>
      <c r="AE23" s="51">
        <f aca="true" t="shared" si="6" ref="AE23:AE28">$F$11/AB23</f>
        <v>1</v>
      </c>
      <c r="AF23" s="52">
        <f aca="true" t="shared" si="7" ref="AF23:AF28">($C$21+$C$22/AE23)*100/($F$13-4.9)</f>
        <v>498.03921568627453</v>
      </c>
      <c r="AG23" s="51">
        <f aca="true" t="shared" si="8" ref="AG23:AG28">AF23*AE23</f>
        <v>498.03921568627453</v>
      </c>
      <c r="AH23" s="53">
        <f aca="true" t="shared" si="9" ref="AH23:AH28">SQRT(AD23/AE23)</f>
        <v>300.98258097505027</v>
      </c>
      <c r="AI23" s="54">
        <f aca="true" t="shared" si="10" ref="AI23:AI28">(AH23*AE23)</f>
        <v>300.98258097505027</v>
      </c>
      <c r="AJ23" s="55">
        <f aca="true" t="shared" si="11" ref="AJ23:AJ28">(($C$21/AH23)+($C$22/AI23))*100+5</f>
        <v>13.439026576792335</v>
      </c>
    </row>
    <row r="24" spans="27:36" ht="14.25" customHeight="1">
      <c r="AA24" s="29">
        <v>2</v>
      </c>
      <c r="AB24" s="39">
        <v>50</v>
      </c>
      <c r="AC24" s="39">
        <f>0.275*POWER(AD24,-0.5478)</f>
        <v>0.0004037034378145836</v>
      </c>
      <c r="AD24" s="118">
        <f>($F$12/0.275)^(1/0.4522)</f>
        <v>148623.95109837365</v>
      </c>
      <c r="AE24" s="51">
        <f t="shared" si="6"/>
        <v>0.5</v>
      </c>
      <c r="AF24" s="52">
        <f t="shared" si="7"/>
        <v>747.0588235294117</v>
      </c>
      <c r="AG24" s="51">
        <f t="shared" si="8"/>
        <v>373.52941176470586</v>
      </c>
      <c r="AH24" s="53">
        <f t="shared" si="9"/>
        <v>545.2044590763609</v>
      </c>
      <c r="AI24" s="54">
        <f t="shared" si="10"/>
        <v>272.60222953818044</v>
      </c>
      <c r="AJ24" s="55">
        <f t="shared" si="11"/>
        <v>11.988204033500715</v>
      </c>
    </row>
    <row r="25" spans="1:36" ht="12.75">
      <c r="A25" s="144" t="s">
        <v>131</v>
      </c>
      <c r="B25" s="144"/>
      <c r="C25" s="144"/>
      <c r="D25" s="144"/>
      <c r="E25" s="144"/>
      <c r="F25" s="144"/>
      <c r="G25" s="144"/>
      <c r="H25" s="144"/>
      <c r="I25" s="144"/>
      <c r="J25" s="144"/>
      <c r="K25" s="144"/>
      <c r="L25" s="144"/>
      <c r="M25" s="144"/>
      <c r="N25" s="144"/>
      <c r="O25" s="144"/>
      <c r="P25" s="144"/>
      <c r="Q25" s="144"/>
      <c r="R25" s="144"/>
      <c r="S25" s="144"/>
      <c r="T25" s="144"/>
      <c r="AA25" s="29">
        <v>3</v>
      </c>
      <c r="AB25" s="39">
        <v>75</v>
      </c>
      <c r="AC25" s="39">
        <f>0.275*POWER(AD25,-0.5478)</f>
        <v>0.0004037034378145836</v>
      </c>
      <c r="AD25" s="118">
        <f>($F$12/0.275)^(1/0.4522)</f>
        <v>148623.95109837365</v>
      </c>
      <c r="AE25" s="51">
        <f t="shared" si="6"/>
        <v>0.3333333333333333</v>
      </c>
      <c r="AF25" s="52">
        <f t="shared" si="7"/>
        <v>996.0784313725491</v>
      </c>
      <c r="AG25" s="51">
        <f t="shared" si="8"/>
        <v>332.0261437908497</v>
      </c>
      <c r="AH25" s="53">
        <f t="shared" si="9"/>
        <v>667.7363651135986</v>
      </c>
      <c r="AI25" s="54">
        <f t="shared" si="10"/>
        <v>222.57878837119952</v>
      </c>
      <c r="AJ25" s="55">
        <f t="shared" si="11"/>
        <v>12.607792933571568</v>
      </c>
    </row>
    <row r="26" spans="27:36" ht="12.75">
      <c r="AA26" s="29">
        <v>4</v>
      </c>
      <c r="AB26" s="39">
        <v>100</v>
      </c>
      <c r="AC26" s="39">
        <f>0.206*POWER(AD26,-0.5478)</f>
        <v>0.00021311142577944822</v>
      </c>
      <c r="AD26" s="118">
        <f>($F$12/0.206)^(1/0.4522)</f>
        <v>281542.85853305104</v>
      </c>
      <c r="AE26" s="51">
        <f t="shared" si="6"/>
        <v>0.25</v>
      </c>
      <c r="AF26" s="52">
        <f t="shared" si="7"/>
        <v>1245.0980392156864</v>
      </c>
      <c r="AG26" s="51">
        <f t="shared" si="8"/>
        <v>311.2745098039216</v>
      </c>
      <c r="AH26" s="53">
        <f t="shared" si="9"/>
        <v>1061.2122474473258</v>
      </c>
      <c r="AI26" s="54">
        <f t="shared" si="10"/>
        <v>265.30306186183145</v>
      </c>
      <c r="AJ26" s="55">
        <f t="shared" si="11"/>
        <v>10.983722874735468</v>
      </c>
    </row>
    <row r="27" spans="2:36" ht="12.75">
      <c r="B27" t="s">
        <v>103</v>
      </c>
      <c r="AA27" s="29">
        <v>5</v>
      </c>
      <c r="AB27" s="39">
        <v>250</v>
      </c>
      <c r="AC27" s="39">
        <f>0.206*POWER(AD27,-0.5478)</f>
        <v>0.00021311142577944822</v>
      </c>
      <c r="AD27" s="118">
        <f>($F$12/0.206)^(1/0.4522)</f>
        <v>281542.85853305104</v>
      </c>
      <c r="AE27" s="79">
        <f t="shared" si="6"/>
        <v>0.1</v>
      </c>
      <c r="AF27" s="52">
        <f t="shared" si="7"/>
        <v>2739.2156862745096</v>
      </c>
      <c r="AG27" s="51">
        <f t="shared" si="8"/>
        <v>273.921568627451</v>
      </c>
      <c r="AH27" s="53">
        <f t="shared" si="9"/>
        <v>1677.9238913998781</v>
      </c>
      <c r="AI27" s="54">
        <f t="shared" si="10"/>
        <v>167.79238913998782</v>
      </c>
      <c r="AJ27" s="55">
        <f t="shared" si="11"/>
        <v>13.325764995422375</v>
      </c>
    </row>
    <row r="28" spans="2:36" ht="13.5" thickBot="1">
      <c r="B28" t="s">
        <v>85</v>
      </c>
      <c r="AA28" s="29">
        <v>6</v>
      </c>
      <c r="AB28" s="39">
        <v>1000</v>
      </c>
      <c r="AC28" s="39">
        <f>0.325*POWER(AD28,-0.5478)</f>
        <v>0.0005841196044411982</v>
      </c>
      <c r="AD28" s="118">
        <f>($F$12/0.325)^(1/0.4522)</f>
        <v>102718.68902157355</v>
      </c>
      <c r="AE28" s="79">
        <f t="shared" si="6"/>
        <v>0.025</v>
      </c>
      <c r="AF28" s="52">
        <f t="shared" si="7"/>
        <v>10209.803921568628</v>
      </c>
      <c r="AG28" s="51">
        <f t="shared" si="8"/>
        <v>255.2450980392157</v>
      </c>
      <c r="AH28" s="53">
        <f t="shared" si="9"/>
        <v>2027.0045784020672</v>
      </c>
      <c r="AI28" s="54">
        <f t="shared" si="10"/>
        <v>50.67511446005168</v>
      </c>
      <c r="AJ28" s="55">
        <f t="shared" si="11"/>
        <v>30.688151154077776</v>
      </c>
    </row>
    <row r="29" spans="27:36" ht="13.5" thickBot="1">
      <c r="AA29" s="56" t="s">
        <v>2</v>
      </c>
      <c r="AB29" s="2"/>
      <c r="AC29" s="2"/>
      <c r="AD29" s="114"/>
      <c r="AE29" s="2"/>
      <c r="AH29" s="2"/>
      <c r="AI29" s="2"/>
      <c r="AJ29" s="2"/>
    </row>
    <row r="30" spans="2:36" ht="12.75">
      <c r="B30" s="142" t="s">
        <v>15</v>
      </c>
      <c r="C30" s="142"/>
      <c r="D30" s="142"/>
      <c r="E30" s="142"/>
      <c r="F30" s="142"/>
      <c r="G30" s="142"/>
      <c r="H30" s="142"/>
      <c r="I30" s="142"/>
      <c r="J30" s="142"/>
      <c r="K30" s="142"/>
      <c r="L30" s="142"/>
      <c r="M30" s="142"/>
      <c r="N30" s="142"/>
      <c r="O30" s="142"/>
      <c r="P30" s="142"/>
      <c r="Q30" s="142"/>
      <c r="R30" s="142"/>
      <c r="S30" s="142"/>
      <c r="AA30" s="27"/>
      <c r="AB30" s="30"/>
      <c r="AC30" s="30"/>
      <c r="AD30" s="115"/>
      <c r="AE30" s="40"/>
      <c r="AF30" s="41"/>
      <c r="AG30" s="42"/>
      <c r="AH30" s="40"/>
      <c r="AI30" s="40"/>
      <c r="AJ30" s="43"/>
    </row>
    <row r="31" spans="2:36" ht="14.25">
      <c r="B31" s="168" t="s">
        <v>7</v>
      </c>
      <c r="C31" s="158" t="s">
        <v>9</v>
      </c>
      <c r="D31" s="159"/>
      <c r="E31" s="6"/>
      <c r="F31" s="156" t="s">
        <v>10</v>
      </c>
      <c r="G31" s="157"/>
      <c r="H31" s="4"/>
      <c r="I31" s="158" t="s">
        <v>11</v>
      </c>
      <c r="J31" s="159"/>
      <c r="K31" s="4"/>
      <c r="L31" s="156" t="s">
        <v>12</v>
      </c>
      <c r="M31" s="157"/>
      <c r="N31" s="4"/>
      <c r="O31" s="158" t="s">
        <v>13</v>
      </c>
      <c r="P31" s="159"/>
      <c r="Q31" s="4"/>
      <c r="R31" s="156" t="s">
        <v>14</v>
      </c>
      <c r="S31" s="157"/>
      <c r="T31" s="9"/>
      <c r="AA31" s="58"/>
      <c r="AB31" s="31" t="s">
        <v>17</v>
      </c>
      <c r="AC31" s="32" t="s">
        <v>18</v>
      </c>
      <c r="AD31" s="116" t="s">
        <v>34</v>
      </c>
      <c r="AE31" s="44" t="s">
        <v>37</v>
      </c>
      <c r="AF31" s="45" t="s">
        <v>79</v>
      </c>
      <c r="AG31" s="46" t="s">
        <v>80</v>
      </c>
      <c r="AH31" s="47" t="s">
        <v>38</v>
      </c>
      <c r="AI31" s="47" t="s">
        <v>39</v>
      </c>
      <c r="AJ31" s="47" t="s">
        <v>19</v>
      </c>
    </row>
    <row r="32" spans="2:36" ht="14.25">
      <c r="B32" s="169"/>
      <c r="C32" s="10" t="s">
        <v>86</v>
      </c>
      <c r="D32" s="10" t="s">
        <v>87</v>
      </c>
      <c r="E32" s="7"/>
      <c r="F32" s="11" t="s">
        <v>88</v>
      </c>
      <c r="G32" s="11" t="s">
        <v>89</v>
      </c>
      <c r="H32" s="8"/>
      <c r="I32" s="10" t="s">
        <v>90</v>
      </c>
      <c r="J32" s="10" t="s">
        <v>91</v>
      </c>
      <c r="K32" s="8"/>
      <c r="L32" s="11" t="s">
        <v>92</v>
      </c>
      <c r="M32" s="11" t="s">
        <v>93</v>
      </c>
      <c r="N32" s="8"/>
      <c r="O32" s="10" t="s">
        <v>94</v>
      </c>
      <c r="P32" s="10" t="s">
        <v>95</v>
      </c>
      <c r="Q32" s="8"/>
      <c r="R32" s="11" t="s">
        <v>96</v>
      </c>
      <c r="S32" s="11" t="s">
        <v>97</v>
      </c>
      <c r="T32" s="5"/>
      <c r="AA32" s="28" t="s">
        <v>20</v>
      </c>
      <c r="AB32" s="33" t="s">
        <v>21</v>
      </c>
      <c r="AC32" s="34" t="s">
        <v>22</v>
      </c>
      <c r="AD32" s="140" t="s">
        <v>36</v>
      </c>
      <c r="AE32" s="48" t="s">
        <v>23</v>
      </c>
      <c r="AF32" s="48" t="s">
        <v>81</v>
      </c>
      <c r="AG32" s="48" t="s">
        <v>81</v>
      </c>
      <c r="AH32" s="48" t="s">
        <v>24</v>
      </c>
      <c r="AI32" s="48" t="s">
        <v>24</v>
      </c>
      <c r="AJ32" s="48" t="s">
        <v>25</v>
      </c>
    </row>
    <row r="33" spans="2:36" ht="13.5" thickBot="1">
      <c r="B33" s="13" t="s">
        <v>101</v>
      </c>
      <c r="C33" s="160" t="s">
        <v>132</v>
      </c>
      <c r="D33" s="161"/>
      <c r="E33" s="63"/>
      <c r="F33" s="162" t="s">
        <v>132</v>
      </c>
      <c r="G33" s="163"/>
      <c r="H33" s="63"/>
      <c r="I33" s="160" t="s">
        <v>132</v>
      </c>
      <c r="J33" s="161"/>
      <c r="K33" s="63"/>
      <c r="L33" s="162" t="s">
        <v>132</v>
      </c>
      <c r="M33" s="163"/>
      <c r="N33" s="63"/>
      <c r="O33" s="160" t="s">
        <v>132</v>
      </c>
      <c r="P33" s="161"/>
      <c r="Q33" s="63"/>
      <c r="R33" s="162" t="s">
        <v>132</v>
      </c>
      <c r="S33" s="163"/>
      <c r="T33" s="64"/>
      <c r="AA33" s="1"/>
      <c r="AB33" s="35" t="s">
        <v>35</v>
      </c>
      <c r="AC33" s="36" t="s">
        <v>102</v>
      </c>
      <c r="AD33" s="141"/>
      <c r="AE33" s="49" t="s">
        <v>27</v>
      </c>
      <c r="AF33" s="49" t="s">
        <v>28</v>
      </c>
      <c r="AG33" s="49" t="s">
        <v>29</v>
      </c>
      <c r="AH33" s="49" t="s">
        <v>28</v>
      </c>
      <c r="AI33" s="49" t="s">
        <v>29</v>
      </c>
      <c r="AJ33" s="49" t="s">
        <v>30</v>
      </c>
    </row>
    <row r="34" spans="2:36" ht="15.75" thickBot="1">
      <c r="B34" s="14">
        <v>25</v>
      </c>
      <c r="C34" s="60">
        <f>IF($AF11&gt;=$AH11,ROUND($AF11,2),ROUND($AH11,2))</f>
        <v>871.57</v>
      </c>
      <c r="D34" s="60">
        <f>IF($AF11&gt;=$AH11,ROUND($AG11,2),ROUND($AI11,2))</f>
        <v>348.63</v>
      </c>
      <c r="E34" s="61" t="str">
        <f>IF($AF11&gt;=$AH11,"t*","P*")</f>
        <v>t*</v>
      </c>
      <c r="F34" s="85">
        <f>IF($AF23&gt;=$AH23,ROUND($AF23,2),ROUND($AH23,2))</f>
        <v>498.04</v>
      </c>
      <c r="G34" s="85">
        <f>IF($AF23&gt;=$AH23,ROUND($AG23,2),ROUND($AI23,2))</f>
        <v>498.04</v>
      </c>
      <c r="H34" s="86" t="str">
        <f>IF($AF23&gt;=$AH23,"t*","P*")</f>
        <v>t*</v>
      </c>
      <c r="I34" s="60">
        <f>IF($AF35&gt;=$AH35,ROUND($AF35,2),ROUND($AH35,2))</f>
        <v>373.53</v>
      </c>
      <c r="J34" s="60">
        <f>IF($AF35&gt;=$AH35,ROUND($AG35,2),ROUND($AI35,2))</f>
        <v>747.06</v>
      </c>
      <c r="K34" s="61" t="str">
        <f>IF($AF35&gt;=$AH35,"t*","P*")</f>
        <v>t*</v>
      </c>
      <c r="L34" s="85">
        <f>IF($AF47&gt;=$AH47,ROUND($AF47,2),ROUND($AH47,2))</f>
        <v>157.18</v>
      </c>
      <c r="M34" s="85">
        <f>IF($AF47&gt;=$AH47,ROUND($AG47,2),ROUND($AI47,2))</f>
        <v>628.71</v>
      </c>
      <c r="N34" s="86" t="str">
        <f>IF($AF47&gt;=$AH47,"t*","P*")</f>
        <v>t*</v>
      </c>
      <c r="O34" s="60">
        <f>IF($AF59&gt;=$AH59,ROUND($AF59,2),ROUND($AH59,2))</f>
        <v>127</v>
      </c>
      <c r="P34" s="60">
        <f>IF($AF59&gt;=$AH59,ROUND($AG59,2),ROUND($AI59,2))</f>
        <v>12700</v>
      </c>
      <c r="Q34" s="61" t="str">
        <f>IF($AF59&gt;=$AH59,"t*","P*")</f>
        <v>t*</v>
      </c>
      <c r="R34" s="85">
        <f>IF($AF71&gt;=$AH71,ROUND($AF71,2),ROUND($AH71,2))</f>
        <v>84.53</v>
      </c>
      <c r="S34" s="85">
        <f>IF($AF71&gt;=$AH71,ROUND($AG71,2),ROUND($AI71,2))</f>
        <v>16905.3</v>
      </c>
      <c r="T34" s="86" t="str">
        <f>IF($AF71&gt;=$AH71,"t*","P*")</f>
        <v>t*</v>
      </c>
      <c r="AA34" s="59"/>
      <c r="AB34" s="37" t="s">
        <v>31</v>
      </c>
      <c r="AC34" s="38" t="s">
        <v>127</v>
      </c>
      <c r="AD34" s="117" t="s">
        <v>128</v>
      </c>
      <c r="AE34" s="50"/>
      <c r="AF34" s="50" t="s">
        <v>129</v>
      </c>
      <c r="AG34" s="50" t="s">
        <v>129</v>
      </c>
      <c r="AH34" s="50" t="s">
        <v>129</v>
      </c>
      <c r="AI34" s="50" t="s">
        <v>129</v>
      </c>
      <c r="AJ34" s="50" t="s">
        <v>32</v>
      </c>
    </row>
    <row r="35" spans="2:36" ht="15.75" thickTop="1">
      <c r="B35" s="14">
        <v>50</v>
      </c>
      <c r="C35" s="60">
        <f>IF($AF12&gt;=$AH12,ROUND($AF12,2),ROUND($AH12,2))</f>
        <v>1494.12</v>
      </c>
      <c r="D35" s="60">
        <f>IF($AF12&gt;=$AH12,ROUND($AG12,2),ROUND($AI12,2))</f>
        <v>298.82</v>
      </c>
      <c r="E35" s="61" t="str">
        <f>IF($AF12&gt;=$AH12,"t*","P*")</f>
        <v>t*</v>
      </c>
      <c r="F35" s="85">
        <f>IF($AF24&gt;=$AH24,ROUND($AF24,2),ROUND($AH24,2))</f>
        <v>747.06</v>
      </c>
      <c r="G35" s="85">
        <f>IF($AF24&gt;=$AH24,ROUND($AG24,2),ROUND($AI24,2))</f>
        <v>373.53</v>
      </c>
      <c r="H35" s="86" t="str">
        <f>IF($AF24&gt;=$AH24,"t*","P*")</f>
        <v>t*</v>
      </c>
      <c r="I35" s="60">
        <f>IF($AF36&gt;=$AH36,ROUND($AF36,2),ROUND($AH36,2))</f>
        <v>498.04</v>
      </c>
      <c r="J35" s="60">
        <f>IF($AF36&gt;=$AH36,ROUND($AG36,2),ROUND($AI36,2))</f>
        <v>498.04</v>
      </c>
      <c r="K35" s="61" t="str">
        <f>IF($AF36&gt;=$AH36,"t*","P*")</f>
        <v>t*</v>
      </c>
      <c r="L35" s="85">
        <f>IF($AF48&gt;=$AH48,ROUND($AF48,2),ROUND($AH48,2))</f>
        <v>272.6</v>
      </c>
      <c r="M35" s="85">
        <f>IF($AF48&gt;=$AH48,ROUND($AG48,2),ROUND($AI48,2))</f>
        <v>545.2</v>
      </c>
      <c r="N35" s="86" t="str">
        <f>IF($AF48&gt;=$AH48,"t*","P*")</f>
        <v>P*</v>
      </c>
      <c r="O35" s="60">
        <f>IF($AF60&gt;=$AH60,ROUND($AF60,2),ROUND($AH60,2))</f>
        <v>128.26</v>
      </c>
      <c r="P35" s="60">
        <f>IF($AF60&gt;=$AH60,ROUND($AG60,2),ROUND($AI60,2))</f>
        <v>6412.87</v>
      </c>
      <c r="Q35" s="61" t="str">
        <f>IF($AF60&gt;=$AH60,"t*","P*")</f>
        <v>t*</v>
      </c>
      <c r="R35" s="85">
        <f>IF($AF72&gt;=$AH72,ROUND($AF72,2),ROUND($AH72,2))</f>
        <v>84.95</v>
      </c>
      <c r="S35" s="85">
        <f>IF($AF72&gt;=$AH72,ROUND($AG72,2),ROUND($AI72,2))</f>
        <v>8494.7</v>
      </c>
      <c r="T35" s="86" t="str">
        <f>IF($AF72&gt;=$AH72,"t*","P*")</f>
        <v>t*</v>
      </c>
      <c r="AA35" s="29">
        <v>1</v>
      </c>
      <c r="AB35" s="39">
        <v>25</v>
      </c>
      <c r="AC35" s="39">
        <f>0.344*POWER(AD35,-0.5478)</f>
        <v>0.0006623210015854112</v>
      </c>
      <c r="AD35" s="118">
        <f>($I$12/0.344)^(1/0.4522)</f>
        <v>90590.51405040271</v>
      </c>
      <c r="AE35" s="51">
        <f aca="true" t="shared" si="12" ref="AE35:AE40">$I$11/AB35</f>
        <v>2</v>
      </c>
      <c r="AF35" s="52">
        <f aca="true" t="shared" si="13" ref="AF35:AF40">($C$21+$C$22/AE35)*100/($I$13-4.9)</f>
        <v>373.52941176470586</v>
      </c>
      <c r="AG35" s="51">
        <f aca="true" t="shared" si="14" ref="AG35:AG40">AF35*AE35</f>
        <v>747.0588235294117</v>
      </c>
      <c r="AH35" s="53">
        <f aca="true" t="shared" si="15" ref="AH35:AH40">SQRT(AD35/AE35)</f>
        <v>212.8268240264872</v>
      </c>
      <c r="AI35" s="54">
        <f aca="true" t="shared" si="16" ref="AI35:AI40">(AH35*AE35)</f>
        <v>425.6536480529744</v>
      </c>
      <c r="AJ35" s="55">
        <f aca="true" t="shared" si="17" ref="AJ35:AJ40">(($C$21/AH35)+($C$22/AI35))*100+5</f>
        <v>13.950939378595034</v>
      </c>
    </row>
    <row r="36" spans="2:36" ht="15">
      <c r="B36" s="14">
        <v>100</v>
      </c>
      <c r="C36" s="60">
        <f>IF($AF14&gt;=$AH14,ROUND($AF14,2),ROUND($AH14,2))</f>
        <v>2739.22</v>
      </c>
      <c r="D36" s="60">
        <f>IF($AF13&gt;=$AH13,ROUND($AG13,2),ROUND($AI13,2))</f>
        <v>282.22</v>
      </c>
      <c r="E36" s="61" t="str">
        <f>IF($AF14&gt;=$AH14,"t*","P*")</f>
        <v>t*</v>
      </c>
      <c r="F36" s="85">
        <f>IF($AF26&gt;=$AH26,ROUND($AF26,2),ROUND($AH26,2))</f>
        <v>1245.1</v>
      </c>
      <c r="G36" s="85">
        <f>IF($AF26&gt;=$AH26,ROUND($AG26,2),ROUND($AI26,2))</f>
        <v>311.27</v>
      </c>
      <c r="H36" s="86" t="str">
        <f>IF($AF26&gt;=$AH26,"t*","P*")</f>
        <v>t*</v>
      </c>
      <c r="I36" s="60">
        <f>IF($AF38&gt;=$AH38,ROUND($AF38,2),ROUND($AH38,2))</f>
        <v>750.39</v>
      </c>
      <c r="J36" s="60">
        <f>IF($AF38&gt;=$AH38,ROUND($AG38,2),ROUND($AI38,2))</f>
        <v>375.2</v>
      </c>
      <c r="K36" s="61" t="str">
        <f>IF($AF38&gt;=$AH38,"t*","P*")</f>
        <v>P*</v>
      </c>
      <c r="L36" s="85">
        <f>IF($AF50&gt;=$AH50,ROUND($AF50,2),ROUND($AH50,2))</f>
        <v>530.61</v>
      </c>
      <c r="M36" s="85">
        <f>IF($AF50&gt;=$AH50,ROUND($AG50,2),ROUND($AI50,2))</f>
        <v>530.61</v>
      </c>
      <c r="N36" s="86" t="str">
        <f>IF($AF50&gt;=$AH50,"t*","P*")</f>
        <v>P*</v>
      </c>
      <c r="O36" s="60">
        <f>IF($AF62&gt;=$AH62,ROUND($AF62,2),ROUND($AH62,2))</f>
        <v>130.77</v>
      </c>
      <c r="P36" s="60">
        <f>IF($AF62&gt;=$AH62,ROUND($AG62,2),ROUND($AI62,2))</f>
        <v>3269.31</v>
      </c>
      <c r="Q36" s="61" t="str">
        <f>IF($AF62&gt;=$AH62,"t*","P*")</f>
        <v>t*</v>
      </c>
      <c r="R36" s="85">
        <f>IF($AF74&gt;=$AH74,ROUND($AF74,2),ROUND($AH74,2))</f>
        <v>85.79</v>
      </c>
      <c r="S36" s="85">
        <f>IF($AF74&gt;=$AH74,ROUND($AG74,2),ROUND($AI74,2))</f>
        <v>4289.4</v>
      </c>
      <c r="T36" s="86" t="str">
        <f>IF($AF74&gt;=$AH74,"t*","P*")</f>
        <v>t*</v>
      </c>
      <c r="AA36" s="29">
        <v>2</v>
      </c>
      <c r="AB36" s="39">
        <v>50</v>
      </c>
      <c r="AC36" s="39">
        <f>0.275*POWER(AD36,-0.5478)</f>
        <v>0.0004037034378145836</v>
      </c>
      <c r="AD36" s="118">
        <f>($I$12/0.275)^(1/0.4522)</f>
        <v>148623.95109837365</v>
      </c>
      <c r="AE36" s="51">
        <f t="shared" si="12"/>
        <v>1</v>
      </c>
      <c r="AF36" s="52">
        <f t="shared" si="13"/>
        <v>498.03921568627453</v>
      </c>
      <c r="AG36" s="51">
        <f t="shared" si="14"/>
        <v>498.03921568627453</v>
      </c>
      <c r="AH36" s="53">
        <f t="shared" si="15"/>
        <v>385.51777014603834</v>
      </c>
      <c r="AI36" s="54">
        <f t="shared" si="16"/>
        <v>385.51777014603834</v>
      </c>
      <c r="AJ36" s="55">
        <f t="shared" si="17"/>
        <v>11.588541947204718</v>
      </c>
    </row>
    <row r="37" spans="2:36" ht="15">
      <c r="B37" s="14">
        <v>250</v>
      </c>
      <c r="C37" s="60">
        <f>IF($AF15&gt;=$AH15,ROUND($AF15,2),ROUND($AH15,2))</f>
        <v>6474.51</v>
      </c>
      <c r="D37" s="60">
        <f>IF($AF15&gt;=$AH15,ROUND($AG15,2),ROUND($AI15,2))</f>
        <v>258.98</v>
      </c>
      <c r="E37" s="61" t="str">
        <f>IF($AF15&gt;=$AH15,"t*","P*")</f>
        <v>t*</v>
      </c>
      <c r="F37" s="85">
        <f>IF($AF27&gt;=$AH27,ROUND($AF27,2),ROUND($AH27,2))</f>
        <v>2739.22</v>
      </c>
      <c r="G37" s="85">
        <f>IF($AF27&gt;=$AH27,ROUND($AG27,2),ROUND($AI27,2))</f>
        <v>273.92</v>
      </c>
      <c r="H37" s="86" t="str">
        <f>IF($AF27&gt;=$AH27,"t*","P*")</f>
        <v>t*</v>
      </c>
      <c r="I37" s="60">
        <f>IF($AF39&gt;=$AH39,ROUND($AF39,2),ROUND($AH39,2))</f>
        <v>1494.12</v>
      </c>
      <c r="J37" s="60">
        <f>IF($AF39&gt;=$AH39,ROUND($AG39,2),ROUND($AI39,2))</f>
        <v>298.82</v>
      </c>
      <c r="K37" s="61" t="str">
        <f>IF($AF39&gt;=$AH39,"t*","P*")</f>
        <v>t*</v>
      </c>
      <c r="L37" s="85">
        <f>IF($AF51&gt;=$AH51,ROUND($AF51,2),ROUND($AH51,2))</f>
        <v>838.96</v>
      </c>
      <c r="M37" s="85">
        <f>IF($AF51&gt;=$AH51,ROUND($AG51,2),ROUND($AI51,2))</f>
        <v>335.58</v>
      </c>
      <c r="N37" s="86" t="str">
        <f>IF($AF51&gt;=$AH51,"t*","P*")</f>
        <v>P*</v>
      </c>
      <c r="O37" s="60">
        <f>IF($AF63&gt;=$AH63,ROUND($AF63,2),ROUND($AH63,2))</f>
        <v>167.79</v>
      </c>
      <c r="P37" s="60">
        <f>IF($AF63&gt;=$AH63,ROUND($AG63,2),ROUND($AI63,2))</f>
        <v>1677.92</v>
      </c>
      <c r="Q37" s="61" t="str">
        <f>IF($AF63&gt;=$AH63,"t*","P*")</f>
        <v>P*</v>
      </c>
      <c r="R37" s="85">
        <f>IF($AF75&gt;=$AH75,ROUND($AF75,2),ROUND($AH75,2))</f>
        <v>118.65</v>
      </c>
      <c r="S37" s="85">
        <f>IF($AF75&gt;=$AH75,ROUND($AG75,2),ROUND($AI75,2))</f>
        <v>2372.94</v>
      </c>
      <c r="T37" s="86" t="str">
        <f>IF($AF75&gt;=$AH75,"t*","P*")</f>
        <v>P*</v>
      </c>
      <c r="AA37" s="29">
        <v>3</v>
      </c>
      <c r="AB37" s="39">
        <v>75</v>
      </c>
      <c r="AC37" s="39">
        <f>0.275*POWER(AD37,-0.5478)</f>
        <v>0.0004037034378145836</v>
      </c>
      <c r="AD37" s="118">
        <f>($I$12/0.275)^(1/0.4522)</f>
        <v>148623.95109837365</v>
      </c>
      <c r="AE37" s="51">
        <f t="shared" si="12"/>
        <v>0.6666666666666666</v>
      </c>
      <c r="AF37" s="52">
        <f t="shared" si="13"/>
        <v>622.5490196078432</v>
      </c>
      <c r="AG37" s="51">
        <f t="shared" si="14"/>
        <v>415.03267973856214</v>
      </c>
      <c r="AH37" s="53">
        <f t="shared" si="15"/>
        <v>472.16091181668196</v>
      </c>
      <c r="AI37" s="54">
        <f t="shared" si="16"/>
        <v>314.77394121112127</v>
      </c>
      <c r="AJ37" s="55">
        <f t="shared" si="17"/>
        <v>11.72440246648944</v>
      </c>
    </row>
    <row r="38" spans="2:36" ht="15">
      <c r="B38" s="14">
        <v>1000</v>
      </c>
      <c r="C38" s="60">
        <f>IF($AF16&gt;=$AH16,ROUND($AF16,2),ROUND($AH16,2))</f>
        <v>25150.98</v>
      </c>
      <c r="D38" s="60">
        <f>IF($AF16&gt;=$AH16,ROUND($AG16,2),ROUND($AI16,2))</f>
        <v>251.51</v>
      </c>
      <c r="E38" s="61" t="str">
        <f>IF($AF16&gt;=$AH16,"t*","P*")</f>
        <v>t*</v>
      </c>
      <c r="F38" s="85">
        <f>IF($AF28&gt;=$AH28,ROUND($AF28,2),ROUND($AH28,2))</f>
        <v>10209.8</v>
      </c>
      <c r="G38" s="85">
        <f>IF($AF28&gt;=$AH28,ROUND($AG28,2),ROUND($AI28,2))</f>
        <v>255.25</v>
      </c>
      <c r="H38" s="86" t="str">
        <f>IF($AF28&gt;=$AH28,"t*","P*")</f>
        <v>t*</v>
      </c>
      <c r="I38" s="60">
        <f>IF($AF40&gt;=$AH40,ROUND($AF40,2),ROUND($AH40,2))</f>
        <v>5229.41</v>
      </c>
      <c r="J38" s="60">
        <f>IF($AF40&gt;=$AH40,ROUND($AG40,2),ROUND($AI40,2))</f>
        <v>261.47</v>
      </c>
      <c r="K38" s="61" t="str">
        <f>IF($AF40&gt;=$AH40,"t*","P*")</f>
        <v>t*</v>
      </c>
      <c r="L38" s="85">
        <f>IF($AF52&gt;=$AH52,ROUND($AF52,2),ROUND($AH52,2))</f>
        <v>1383.17</v>
      </c>
      <c r="M38" s="85">
        <f>IF($AF52&gt;=$AH52,ROUND($AG52,2),ROUND($AI52,2))</f>
        <v>138.32</v>
      </c>
      <c r="N38" s="86" t="str">
        <f>IF($AF52&gt;=$AH52,"t*","P*")</f>
        <v>t*</v>
      </c>
      <c r="O38" s="60">
        <f>IF($AF64&gt;=$AH64,ROUND($AF64,2),ROUND($AH64,2))</f>
        <v>202.7</v>
      </c>
      <c r="P38" s="60">
        <f>IF($AF64&gt;=$AH64,ROUND($AG64,2),ROUND($AI64,2))</f>
        <v>506.75</v>
      </c>
      <c r="Q38" s="61" t="str">
        <f>IF($AF64&gt;=$AH64,"t*","P*")</f>
        <v>P*</v>
      </c>
      <c r="R38" s="85">
        <f>IF($AF76&gt;=$AH76,ROUND($AF76,2),ROUND($AH76,2))</f>
        <v>143.33</v>
      </c>
      <c r="S38" s="85">
        <f>IF($AF76&gt;=$AH76,ROUND($AG76,2),ROUND($AI76,2))</f>
        <v>716.65</v>
      </c>
      <c r="T38" s="86" t="str">
        <f>IF($AF76&gt;=$AH76,"t*","P*")</f>
        <v>P*</v>
      </c>
      <c r="AA38" s="29">
        <v>4</v>
      </c>
      <c r="AB38" s="39">
        <v>100</v>
      </c>
      <c r="AC38" s="39">
        <f>0.206*POWER(AD38,-0.5478)</f>
        <v>0.00021311142577944822</v>
      </c>
      <c r="AD38" s="118">
        <f>($I$12/0.206)^(1/0.4522)</f>
        <v>281542.85853305104</v>
      </c>
      <c r="AE38" s="51">
        <f t="shared" si="12"/>
        <v>0.5</v>
      </c>
      <c r="AF38" s="52">
        <f t="shared" si="13"/>
        <v>747.0588235294117</v>
      </c>
      <c r="AG38" s="51">
        <f t="shared" si="14"/>
        <v>373.52941176470586</v>
      </c>
      <c r="AH38" s="53">
        <f t="shared" si="15"/>
        <v>750.3903764482205</v>
      </c>
      <c r="AI38" s="54">
        <f t="shared" si="16"/>
        <v>375.19518822411027</v>
      </c>
      <c r="AJ38" s="55">
        <f t="shared" si="17"/>
        <v>10.077357225759814</v>
      </c>
    </row>
    <row r="39" spans="5:36" ht="12.75">
      <c r="E39" s="24" t="s">
        <v>98</v>
      </c>
      <c r="AA39" s="29">
        <v>5</v>
      </c>
      <c r="AB39" s="39">
        <v>250</v>
      </c>
      <c r="AC39" s="39">
        <f>0.206*POWER(AD39,-0.5478)</f>
        <v>0.00021311142577944822</v>
      </c>
      <c r="AD39" s="118">
        <f>($I$12/0.206)^(1/0.4522)</f>
        <v>281542.85853305104</v>
      </c>
      <c r="AE39" s="79">
        <f t="shared" si="12"/>
        <v>0.2</v>
      </c>
      <c r="AF39" s="52">
        <f t="shared" si="13"/>
        <v>1494.1176470588234</v>
      </c>
      <c r="AG39" s="51">
        <f t="shared" si="14"/>
        <v>298.8235294117647</v>
      </c>
      <c r="AH39" s="53">
        <f t="shared" si="15"/>
        <v>1186.4713619237739</v>
      </c>
      <c r="AI39" s="54">
        <f t="shared" si="16"/>
        <v>237.29427238475478</v>
      </c>
      <c r="AJ39" s="55">
        <f t="shared" si="17"/>
        <v>11.422405331085905</v>
      </c>
    </row>
    <row r="40" spans="1:36" ht="13.5" thickBot="1">
      <c r="A40" s="144" t="s">
        <v>133</v>
      </c>
      <c r="B40" s="144"/>
      <c r="C40" s="144"/>
      <c r="D40" s="144"/>
      <c r="E40" s="144"/>
      <c r="F40" s="144"/>
      <c r="G40" s="144"/>
      <c r="H40" s="144"/>
      <c r="I40" s="144"/>
      <c r="J40" s="144"/>
      <c r="K40" s="144"/>
      <c r="L40" s="144"/>
      <c r="M40" s="144"/>
      <c r="N40" s="144"/>
      <c r="O40" s="144"/>
      <c r="P40" s="144"/>
      <c r="Q40" s="144"/>
      <c r="R40" s="144"/>
      <c r="S40" s="144"/>
      <c r="T40" s="144"/>
      <c r="AA40" s="29">
        <v>6</v>
      </c>
      <c r="AB40" s="39">
        <v>1000</v>
      </c>
      <c r="AC40" s="39">
        <f>0.325*POWER(AD40,-0.5478)</f>
        <v>0.0005841196044411982</v>
      </c>
      <c r="AD40" s="118">
        <f>($I$12/0.325)^(1/0.4522)</f>
        <v>102718.68902157355</v>
      </c>
      <c r="AE40" s="79">
        <f t="shared" si="12"/>
        <v>0.05</v>
      </c>
      <c r="AF40" s="52">
        <f t="shared" si="13"/>
        <v>5229.411764705883</v>
      </c>
      <c r="AG40" s="51">
        <f t="shared" si="14"/>
        <v>261.47058823529414</v>
      </c>
      <c r="AH40" s="53">
        <f t="shared" si="15"/>
        <v>1433.3086828842804</v>
      </c>
      <c r="AI40" s="54">
        <f t="shared" si="16"/>
        <v>71.66543414421402</v>
      </c>
      <c r="AJ40" s="55">
        <f t="shared" si="17"/>
        <v>23.60729675224693</v>
      </c>
    </row>
    <row r="41" spans="27:36" ht="13.5" thickBot="1">
      <c r="AA41" s="57" t="s">
        <v>3</v>
      </c>
      <c r="AB41" s="2"/>
      <c r="AC41" s="2"/>
      <c r="AD41" s="114"/>
      <c r="AE41" s="2"/>
      <c r="AH41" s="2"/>
      <c r="AI41" s="2"/>
      <c r="AJ41" s="2"/>
    </row>
    <row r="42" spans="27:36" ht="12.75">
      <c r="AA42" s="27"/>
      <c r="AB42" s="30"/>
      <c r="AC42" s="30"/>
      <c r="AD42" s="115"/>
      <c r="AE42" s="40"/>
      <c r="AF42" s="41"/>
      <c r="AG42" s="42"/>
      <c r="AH42" s="40"/>
      <c r="AI42" s="40"/>
      <c r="AJ42" s="43"/>
    </row>
    <row r="43" spans="2:36" ht="14.25">
      <c r="B43" t="s">
        <v>104</v>
      </c>
      <c r="AA43" s="58"/>
      <c r="AB43" s="31" t="s">
        <v>17</v>
      </c>
      <c r="AC43" s="32" t="s">
        <v>18</v>
      </c>
      <c r="AD43" s="116" t="s">
        <v>34</v>
      </c>
      <c r="AE43" s="44" t="s">
        <v>37</v>
      </c>
      <c r="AF43" s="45" t="s">
        <v>79</v>
      </c>
      <c r="AG43" s="46" t="s">
        <v>80</v>
      </c>
      <c r="AH43" s="47" t="s">
        <v>38</v>
      </c>
      <c r="AI43" s="47" t="s">
        <v>39</v>
      </c>
      <c r="AJ43" s="47" t="s">
        <v>19</v>
      </c>
    </row>
    <row r="44" spans="2:36" ht="12.75">
      <c r="B44" t="s">
        <v>99</v>
      </c>
      <c r="AA44" s="28" t="s">
        <v>20</v>
      </c>
      <c r="AB44" s="33" t="s">
        <v>21</v>
      </c>
      <c r="AC44" s="34" t="s">
        <v>22</v>
      </c>
      <c r="AD44" s="140" t="s">
        <v>36</v>
      </c>
      <c r="AE44" s="48" t="s">
        <v>23</v>
      </c>
      <c r="AF44" s="48" t="s">
        <v>81</v>
      </c>
      <c r="AG44" s="48" t="s">
        <v>81</v>
      </c>
      <c r="AH44" s="48" t="s">
        <v>24</v>
      </c>
      <c r="AI44" s="48" t="s">
        <v>24</v>
      </c>
      <c r="AJ44" s="48" t="s">
        <v>25</v>
      </c>
    </row>
    <row r="45" spans="27:36" ht="12.75">
      <c r="AA45" s="1"/>
      <c r="AB45" s="35" t="s">
        <v>35</v>
      </c>
      <c r="AC45" s="36" t="s">
        <v>102</v>
      </c>
      <c r="AD45" s="141"/>
      <c r="AE45" s="49" t="s">
        <v>27</v>
      </c>
      <c r="AF45" s="49" t="s">
        <v>28</v>
      </c>
      <c r="AG45" s="49" t="s">
        <v>29</v>
      </c>
      <c r="AH45" s="49" t="s">
        <v>28</v>
      </c>
      <c r="AI45" s="49" t="s">
        <v>29</v>
      </c>
      <c r="AJ45" s="49" t="s">
        <v>30</v>
      </c>
    </row>
    <row r="46" spans="2:36" ht="13.5" thickBot="1">
      <c r="B46" s="142" t="s">
        <v>107</v>
      </c>
      <c r="C46" s="142"/>
      <c r="D46" s="142"/>
      <c r="E46" s="142"/>
      <c r="F46" s="142"/>
      <c r="G46" s="142"/>
      <c r="H46" s="142"/>
      <c r="I46" s="142"/>
      <c r="J46" s="142"/>
      <c r="K46" s="142"/>
      <c r="L46" s="142"/>
      <c r="M46" s="142"/>
      <c r="N46" s="142"/>
      <c r="O46" s="142"/>
      <c r="P46" s="142"/>
      <c r="Q46" s="142"/>
      <c r="R46" s="142"/>
      <c r="S46" s="142"/>
      <c r="AA46" s="59"/>
      <c r="AB46" s="37" t="s">
        <v>31</v>
      </c>
      <c r="AC46" s="38" t="s">
        <v>127</v>
      </c>
      <c r="AD46" s="117" t="s">
        <v>128</v>
      </c>
      <c r="AE46" s="50"/>
      <c r="AF46" s="50" t="s">
        <v>129</v>
      </c>
      <c r="AG46" s="50" t="s">
        <v>129</v>
      </c>
      <c r="AH46" s="50" t="s">
        <v>129</v>
      </c>
      <c r="AI46" s="50" t="s">
        <v>129</v>
      </c>
      <c r="AJ46" s="50" t="s">
        <v>32</v>
      </c>
    </row>
    <row r="47" spans="2:36" ht="13.5" thickTop="1">
      <c r="B47" s="82" t="s">
        <v>7</v>
      </c>
      <c r="C47" s="17"/>
      <c r="D47" s="18"/>
      <c r="E47" s="18"/>
      <c r="F47" s="18"/>
      <c r="G47" s="18"/>
      <c r="H47" s="18"/>
      <c r="I47" s="18"/>
      <c r="J47" s="18"/>
      <c r="K47" s="18"/>
      <c r="L47" s="18"/>
      <c r="M47" s="18"/>
      <c r="N47" s="18"/>
      <c r="O47" s="18"/>
      <c r="P47" s="18"/>
      <c r="Q47" s="18"/>
      <c r="R47" s="18"/>
      <c r="S47" s="19"/>
      <c r="AA47" s="29">
        <v>1</v>
      </c>
      <c r="AB47" s="39">
        <v>25</v>
      </c>
      <c r="AC47" s="39">
        <f>0.344*POWER(AD47,-0.5478)</f>
        <v>0.0006623210015854112</v>
      </c>
      <c r="AD47" s="118">
        <f>($L$12/0.344)^(1/0.4522)</f>
        <v>90590.51405040271</v>
      </c>
      <c r="AE47" s="51">
        <f aca="true" t="shared" si="18" ref="AE47:AE52">$L$11/AB47</f>
        <v>4</v>
      </c>
      <c r="AF47" s="52">
        <f aca="true" t="shared" si="19" ref="AF47:AF52">($C$21+$C$22/AE47)*100/($L$13-4.9)</f>
        <v>157.1782178217822</v>
      </c>
      <c r="AG47" s="51">
        <f aca="true" t="shared" si="20" ref="AG47:AG52">AF47*AE47</f>
        <v>628.7128712871288</v>
      </c>
      <c r="AH47" s="53">
        <f aca="true" t="shared" si="21" ref="AH47:AH52">SQRT(AD47/AE47)</f>
        <v>150.49129048752513</v>
      </c>
      <c r="AI47" s="54">
        <f aca="true" t="shared" si="22" ref="AI47:AI52">(AH47*AE47)</f>
        <v>601.9651619501005</v>
      </c>
      <c r="AJ47" s="55">
        <f aca="true" t="shared" si="23" ref="AJ47:AJ52">(($C$21/AH47)+($C$22/AI47))*100+5</f>
        <v>15.548783220990417</v>
      </c>
    </row>
    <row r="48" spans="2:36" ht="12.75">
      <c r="B48" s="83"/>
      <c r="C48" s="89"/>
      <c r="D48" s="16"/>
      <c r="E48" s="16"/>
      <c r="F48" s="16"/>
      <c r="G48" s="16"/>
      <c r="H48" s="16"/>
      <c r="I48" s="16"/>
      <c r="J48" s="16"/>
      <c r="K48" s="16"/>
      <c r="L48" s="16"/>
      <c r="M48" s="16"/>
      <c r="N48" s="16"/>
      <c r="O48" s="16"/>
      <c r="P48" s="16"/>
      <c r="Q48" s="16"/>
      <c r="R48" s="16"/>
      <c r="S48" s="90"/>
      <c r="AA48" s="29">
        <v>2</v>
      </c>
      <c r="AB48" s="39">
        <v>50</v>
      </c>
      <c r="AC48" s="39">
        <f>0.275*POWER(AD48,-0.5478)</f>
        <v>0.0004037034378145836</v>
      </c>
      <c r="AD48" s="118">
        <f>($L$12/0.275)^(1/0.4522)</f>
        <v>148623.95109837365</v>
      </c>
      <c r="AE48" s="51">
        <f t="shared" si="18"/>
        <v>2</v>
      </c>
      <c r="AF48" s="52">
        <f t="shared" si="19"/>
        <v>188.6138613861386</v>
      </c>
      <c r="AG48" s="51">
        <f t="shared" si="20"/>
        <v>377.2277227722772</v>
      </c>
      <c r="AH48" s="53">
        <f t="shared" si="21"/>
        <v>272.60222953818044</v>
      </c>
      <c r="AI48" s="54">
        <f t="shared" si="22"/>
        <v>545.2044590763609</v>
      </c>
      <c r="AJ48" s="55">
        <f t="shared" si="23"/>
        <v>11.988204033500715</v>
      </c>
    </row>
    <row r="49" spans="2:36" ht="14.25">
      <c r="B49" s="87" t="s">
        <v>101</v>
      </c>
      <c r="C49" s="135" t="s">
        <v>9</v>
      </c>
      <c r="D49" s="136"/>
      <c r="E49" s="23"/>
      <c r="F49" s="133" t="s">
        <v>10</v>
      </c>
      <c r="G49" s="134"/>
      <c r="H49" s="23"/>
      <c r="I49" s="135" t="s">
        <v>11</v>
      </c>
      <c r="J49" s="136"/>
      <c r="K49" s="23"/>
      <c r="L49" s="133" t="s">
        <v>12</v>
      </c>
      <c r="M49" s="134"/>
      <c r="N49" s="23"/>
      <c r="O49" s="135" t="s">
        <v>13</v>
      </c>
      <c r="P49" s="136"/>
      <c r="Q49" s="23"/>
      <c r="R49" s="133" t="s">
        <v>14</v>
      </c>
      <c r="S49" s="134"/>
      <c r="AA49" s="29">
        <v>3</v>
      </c>
      <c r="AB49" s="39">
        <v>75</v>
      </c>
      <c r="AC49" s="39">
        <f>0.275*POWER(AD49,-0.5478)</f>
        <v>0.0004037034378145836</v>
      </c>
      <c r="AD49" s="118">
        <f>($L$12/0.275)^(1/0.4522)</f>
        <v>148623.95109837365</v>
      </c>
      <c r="AE49" s="51">
        <f t="shared" si="18"/>
        <v>1.3333333333333333</v>
      </c>
      <c r="AF49" s="52">
        <f t="shared" si="19"/>
        <v>220.04950495049505</v>
      </c>
      <c r="AG49" s="51">
        <f t="shared" si="20"/>
        <v>293.39933993399336</v>
      </c>
      <c r="AH49" s="53">
        <f t="shared" si="21"/>
        <v>333.8681825567993</v>
      </c>
      <c r="AI49" s="54">
        <f t="shared" si="22"/>
        <v>445.15757674239904</v>
      </c>
      <c r="AJ49" s="55">
        <f t="shared" si="23"/>
        <v>11.656818816875123</v>
      </c>
    </row>
    <row r="50" spans="2:36" ht="12.75">
      <c r="B50" s="88">
        <v>25</v>
      </c>
      <c r="C50" s="138" t="str">
        <f>IF($AE11&lt;1,"Partial Square",IF($AE11&lt;=10,"Bar",IF($AE11&gt;10,"Serpentine")))</f>
        <v>Partial Square</v>
      </c>
      <c r="D50" s="138"/>
      <c r="E50" s="91"/>
      <c r="F50" s="137" t="str">
        <f>IF($AE23&lt;1,"Partial Square",IF($AE23&lt;=10,"Bar",IF($AE23&gt;10,"Serpentine")))</f>
        <v>Bar</v>
      </c>
      <c r="G50" s="137"/>
      <c r="H50" s="92"/>
      <c r="I50" s="138" t="str">
        <f>IF($AE35&lt;1,"Partial Square",IF($AE35&lt;=10,"Bar",IF($AE35&gt;10,"Serpentine")))</f>
        <v>Bar</v>
      </c>
      <c r="J50" s="138"/>
      <c r="K50" s="92"/>
      <c r="L50" s="137" t="str">
        <f>IF($AE47&lt;1,"Partial Square",IF($AE47&lt;=10,"Bar",IF($AE47&gt;10,"Serpentine")))</f>
        <v>Bar</v>
      </c>
      <c r="M50" s="137"/>
      <c r="N50" s="92"/>
      <c r="O50" s="138" t="str">
        <f>IF($AE59&lt;1,"Partial Square",IF($AE59&lt;=10,"Bar",IF($AE59&gt;10,"Serpentine")))</f>
        <v>Serpentine</v>
      </c>
      <c r="P50" s="138"/>
      <c r="Q50" s="92"/>
      <c r="R50" s="137" t="str">
        <f>IF($AE71&lt;1,"Partial Square",IF($AE71&lt;=10,"Bar",IF($AE71&gt;10,"Serpentine")))</f>
        <v>Serpentine</v>
      </c>
      <c r="S50" s="137"/>
      <c r="AA50" s="29">
        <v>4</v>
      </c>
      <c r="AB50" s="39">
        <v>100</v>
      </c>
      <c r="AC50" s="39">
        <f>0.206*POWER(AD50,-0.5478)</f>
        <v>0.00021311142577944822</v>
      </c>
      <c r="AD50" s="118">
        <f>($L$12/0.206)^(1/0.4522)</f>
        <v>281542.85853305104</v>
      </c>
      <c r="AE50" s="51">
        <f t="shared" si="18"/>
        <v>1</v>
      </c>
      <c r="AF50" s="52">
        <f t="shared" si="19"/>
        <v>251.4851485148515</v>
      </c>
      <c r="AG50" s="51">
        <f t="shared" si="20"/>
        <v>251.4851485148515</v>
      </c>
      <c r="AH50" s="53">
        <f t="shared" si="21"/>
        <v>530.6061237236629</v>
      </c>
      <c r="AI50" s="54">
        <f t="shared" si="22"/>
        <v>530.6061237236629</v>
      </c>
      <c r="AJ50" s="55">
        <f t="shared" si="23"/>
        <v>9.786978299788375</v>
      </c>
    </row>
    <row r="51" spans="2:36" ht="12.75">
      <c r="B51" s="88">
        <v>50</v>
      </c>
      <c r="C51" s="138" t="str">
        <f>IF($AE12&lt;1,"Partial Square",IF($AE12&lt;=10,"Bar",IF($AE12&gt;10,"Serpentine")))</f>
        <v>Partial Square</v>
      </c>
      <c r="D51" s="138"/>
      <c r="E51" s="91"/>
      <c r="F51" s="137" t="str">
        <f>IF($AE24&lt;1,"Partial Square",IF($AE24&lt;=10,"Bar",IF($AE24&gt;10,"Serpentine")))</f>
        <v>Partial Square</v>
      </c>
      <c r="G51" s="137"/>
      <c r="H51" s="92"/>
      <c r="I51" s="138" t="str">
        <f>IF($AE36&lt;1,"Partial Square",IF($AE36&lt;=10,"Bar",IF($AE36&gt;10,"Serpentine")))</f>
        <v>Bar</v>
      </c>
      <c r="J51" s="138"/>
      <c r="K51" s="92"/>
      <c r="L51" s="137" t="str">
        <f>IF($AE48&lt;1,"Partial Square",IF($AE48&lt;=10,"Bar",IF($AE48&gt;10,"Serpentine")))</f>
        <v>Bar</v>
      </c>
      <c r="M51" s="137"/>
      <c r="N51" s="92"/>
      <c r="O51" s="138" t="str">
        <f>IF($AE60&lt;1,"Partial Square",IF($AE60&lt;=10,"Bar",IF($AE60&gt;10,"Serpentine")))</f>
        <v>Serpentine</v>
      </c>
      <c r="P51" s="138"/>
      <c r="Q51" s="92"/>
      <c r="R51" s="137" t="str">
        <f>IF($AE72&lt;1,"Partial Square",IF($AE72&lt;=10,"Bar",IF($AE72&gt;10,"Serpentine")))</f>
        <v>Serpentine</v>
      </c>
      <c r="S51" s="137"/>
      <c r="AA51" s="29">
        <v>5</v>
      </c>
      <c r="AB51" s="39">
        <v>250</v>
      </c>
      <c r="AC51" s="39">
        <f>0.206*POWER(AD51,-0.5478)</f>
        <v>0.00021311142577944822</v>
      </c>
      <c r="AD51" s="118">
        <f>($L$12/0.206)^(1/0.4522)</f>
        <v>281542.85853305104</v>
      </c>
      <c r="AE51" s="51">
        <f t="shared" si="18"/>
        <v>0.4</v>
      </c>
      <c r="AF51" s="52">
        <f t="shared" si="19"/>
        <v>440.0990099009901</v>
      </c>
      <c r="AG51" s="51">
        <f t="shared" si="20"/>
        <v>176.03960396039605</v>
      </c>
      <c r="AH51" s="53">
        <f t="shared" si="21"/>
        <v>838.9619456999391</v>
      </c>
      <c r="AI51" s="54">
        <f t="shared" si="22"/>
        <v>335.58477827997564</v>
      </c>
      <c r="AJ51" s="55">
        <f t="shared" si="23"/>
        <v>10.298214087996056</v>
      </c>
    </row>
    <row r="52" spans="2:36" ht="12.75" customHeight="1" thickBot="1">
      <c r="B52" s="88">
        <v>100</v>
      </c>
      <c r="C52" s="138" t="str">
        <f>IF($AE14&lt;1,"Partial Square",IF($AE14&lt;=10,"Bar",IF($AE14&gt;10,"Serpentine")))</f>
        <v>Partial Square</v>
      </c>
      <c r="D52" s="138"/>
      <c r="E52" s="91"/>
      <c r="F52" s="137" t="str">
        <f>IF($AE26&lt;1,"Partial Square",IF($AE26&lt;=10,"Bar",IF($AE26&gt;10,"Serpentine")))</f>
        <v>Partial Square</v>
      </c>
      <c r="G52" s="137"/>
      <c r="H52" s="92"/>
      <c r="I52" s="138" t="str">
        <f>IF($AE38&lt;1,"Partial Square",IF($AE38&lt;=10,"Bar",IF($AE38&gt;10,"Serpentine")))</f>
        <v>Partial Square</v>
      </c>
      <c r="J52" s="138"/>
      <c r="K52" s="92"/>
      <c r="L52" s="137" t="str">
        <f>IF($AE50&lt;1,"Partial Square",IF($AE50&lt;=10,"Bar",IF($AE50&gt;10,"Serpentine")))</f>
        <v>Bar</v>
      </c>
      <c r="M52" s="137"/>
      <c r="N52" s="92"/>
      <c r="O52" s="138" t="str">
        <f>IF($AE62&lt;1,"Partial Square",IF($AE62&lt;=10,"Bar",IF($AE62&gt;10,"Serpentine")))</f>
        <v>Serpentine</v>
      </c>
      <c r="P52" s="138"/>
      <c r="Q52" s="92"/>
      <c r="R52" s="137" t="str">
        <f>IF($AE74&lt;1,"Partial Square",IF($AE74&lt;=10,"Bar",IF($AE74&gt;10,"Serpentine")))</f>
        <v>Serpentine</v>
      </c>
      <c r="S52" s="137"/>
      <c r="AA52" s="29">
        <v>6</v>
      </c>
      <c r="AB52" s="39">
        <v>1000</v>
      </c>
      <c r="AC52" s="39">
        <f>0.325*POWER(AD52,-0.5478)</f>
        <v>0.0005841196044411982</v>
      </c>
      <c r="AD52" s="118">
        <f>($L$12/0.325)^(1/0.4522)</f>
        <v>102718.68902157355</v>
      </c>
      <c r="AE52" s="51">
        <f t="shared" si="18"/>
        <v>0.1</v>
      </c>
      <c r="AF52" s="52">
        <f t="shared" si="19"/>
        <v>1383.1683168316831</v>
      </c>
      <c r="AG52" s="51">
        <f t="shared" si="20"/>
        <v>138.31683168316832</v>
      </c>
      <c r="AH52" s="53">
        <f t="shared" si="21"/>
        <v>1013.5022892010336</v>
      </c>
      <c r="AI52" s="54">
        <f t="shared" si="22"/>
        <v>101.35022892010336</v>
      </c>
      <c r="AJ52" s="55">
        <f t="shared" si="23"/>
        <v>18.7838859851149</v>
      </c>
    </row>
    <row r="53" spans="2:36" ht="12.75" customHeight="1" thickBot="1">
      <c r="B53" s="88">
        <v>250</v>
      </c>
      <c r="C53" s="138" t="str">
        <f>IF($AE15&lt;1,"Partial Square",IF($AE15&lt;=10,"Bar",IF($AE15&gt;10,"Serpentine")))</f>
        <v>Partial Square</v>
      </c>
      <c r="D53" s="138"/>
      <c r="E53" s="91"/>
      <c r="F53" s="137" t="str">
        <f>IF($AE27&lt;1,"Partial Square",IF($AE27&lt;=10,"Bar",IF($AE27&gt;10,"Serpentine")))</f>
        <v>Partial Square</v>
      </c>
      <c r="G53" s="137"/>
      <c r="H53" s="92"/>
      <c r="I53" s="138" t="str">
        <f>IF($AE39&lt;1,"Partial Square",IF($AE39&lt;=10,"Bar",IF($AE39&gt;10,"Serpentine")))</f>
        <v>Partial Square</v>
      </c>
      <c r="J53" s="138"/>
      <c r="K53" s="92"/>
      <c r="L53" s="137" t="str">
        <f>IF($AE51&lt;1,"Partial Square",IF($AE51&lt;=10,"Bar",IF($AE51&gt;10,"Serpentine")))</f>
        <v>Partial Square</v>
      </c>
      <c r="M53" s="137"/>
      <c r="N53" s="92"/>
      <c r="O53" s="138" t="str">
        <f>IF($AE63&lt;1,"Partial Square",IF($AE63&lt;=10,"Bar",IF($AE63&gt;10,"Serpentine")))</f>
        <v>Bar</v>
      </c>
      <c r="P53" s="138"/>
      <c r="Q53" s="92"/>
      <c r="R53" s="137" t="str">
        <f>IF($AE75&lt;1,"Partial Square",IF($AE75&lt;=10,"Bar",IF($AE75&gt;10,"Serpentine")))</f>
        <v>Serpentine</v>
      </c>
      <c r="S53" s="137"/>
      <c r="AA53" s="56" t="s">
        <v>4</v>
      </c>
      <c r="AB53" s="2"/>
      <c r="AC53" s="2"/>
      <c r="AD53" s="114"/>
      <c r="AE53" s="2"/>
      <c r="AH53" s="2"/>
      <c r="AI53" s="2"/>
      <c r="AJ53" s="2"/>
    </row>
    <row r="54" spans="2:36" ht="12.75" customHeight="1">
      <c r="B54" s="88">
        <v>1000</v>
      </c>
      <c r="C54" s="138" t="str">
        <f>IF($AE16&lt;1,"Partial Square",IF($AE16&lt;=10,"Bar",IF($AE16&gt;10,"Serpentine")))</f>
        <v>Partial Square</v>
      </c>
      <c r="D54" s="138"/>
      <c r="E54" s="93"/>
      <c r="F54" s="137" t="str">
        <f>IF($AE28&lt;1,"Partial Square",IF($AE28&lt;=10,"Bar",IF($AE28&gt;10,"Serpentine")))</f>
        <v>Partial Square</v>
      </c>
      <c r="G54" s="137"/>
      <c r="H54" s="94"/>
      <c r="I54" s="138" t="str">
        <f>IF($AE40&lt;1,"Partial Square",IF($AE40&lt;=10,"Bar",IF($AE40&gt;10,"Serpentine")))</f>
        <v>Partial Square</v>
      </c>
      <c r="J54" s="138"/>
      <c r="K54" s="94"/>
      <c r="L54" s="137" t="str">
        <f>IF($AE52&lt;1,"Partial Square",IF($AE52&lt;=10,"Bar",IF($AE52&gt;10,"Serpentine")))</f>
        <v>Partial Square</v>
      </c>
      <c r="M54" s="137"/>
      <c r="N54" s="94"/>
      <c r="O54" s="138" t="str">
        <f>IF($AE64&lt;1,"Partial Square",IF($AE64&lt;=10,"Bar",IF($AE64&gt;10,"Serpentine")))</f>
        <v>Bar</v>
      </c>
      <c r="P54" s="138"/>
      <c r="Q54" s="94"/>
      <c r="R54" s="137" t="str">
        <f>IF($AE76&lt;1,"Partial Square",IF($AE76&lt;=10,"Bar",IF($AE76&gt;10,"Serpentine")))</f>
        <v>Bar</v>
      </c>
      <c r="S54" s="137"/>
      <c r="AA54" s="27"/>
      <c r="AB54" s="30"/>
      <c r="AC54" s="30"/>
      <c r="AD54" s="115"/>
      <c r="AE54" s="40"/>
      <c r="AF54" s="41"/>
      <c r="AG54" s="42"/>
      <c r="AH54" s="40"/>
      <c r="AI54" s="40"/>
      <c r="AJ54" s="43"/>
    </row>
    <row r="55" spans="27:36" ht="14.25">
      <c r="AA55" s="58"/>
      <c r="AB55" s="31" t="s">
        <v>17</v>
      </c>
      <c r="AC55" s="32" t="s">
        <v>18</v>
      </c>
      <c r="AD55" s="116" t="s">
        <v>34</v>
      </c>
      <c r="AE55" s="44" t="s">
        <v>37</v>
      </c>
      <c r="AF55" s="45" t="s">
        <v>79</v>
      </c>
      <c r="AG55" s="46" t="s">
        <v>80</v>
      </c>
      <c r="AH55" s="47" t="s">
        <v>38</v>
      </c>
      <c r="AI55" s="47" t="s">
        <v>39</v>
      </c>
      <c r="AJ55" s="47" t="s">
        <v>19</v>
      </c>
    </row>
    <row r="56" spans="27:36" ht="12.75">
      <c r="AA56" s="28" t="s">
        <v>20</v>
      </c>
      <c r="AB56" s="33" t="s">
        <v>21</v>
      </c>
      <c r="AC56" s="34" t="s">
        <v>22</v>
      </c>
      <c r="AD56" s="140" t="s">
        <v>36</v>
      </c>
      <c r="AE56" s="48" t="s">
        <v>23</v>
      </c>
      <c r="AF56" s="48" t="s">
        <v>81</v>
      </c>
      <c r="AG56" s="48" t="s">
        <v>81</v>
      </c>
      <c r="AH56" s="48" t="s">
        <v>24</v>
      </c>
      <c r="AI56" s="48" t="s">
        <v>24</v>
      </c>
      <c r="AJ56" s="48" t="s">
        <v>25</v>
      </c>
    </row>
    <row r="57" spans="27:36" ht="12.75">
      <c r="AA57" s="1"/>
      <c r="AB57" s="35" t="s">
        <v>35</v>
      </c>
      <c r="AC57" s="36" t="s">
        <v>102</v>
      </c>
      <c r="AD57" s="141"/>
      <c r="AE57" s="49" t="s">
        <v>27</v>
      </c>
      <c r="AF57" s="49" t="s">
        <v>28</v>
      </c>
      <c r="AG57" s="49" t="s">
        <v>29</v>
      </c>
      <c r="AH57" s="49" t="s">
        <v>28</v>
      </c>
      <c r="AI57" s="49" t="s">
        <v>29</v>
      </c>
      <c r="AJ57" s="49" t="s">
        <v>30</v>
      </c>
    </row>
    <row r="58" spans="27:36" ht="13.5" thickBot="1">
      <c r="AA58" s="59"/>
      <c r="AB58" s="37" t="s">
        <v>31</v>
      </c>
      <c r="AC58" s="38" t="s">
        <v>127</v>
      </c>
      <c r="AD58" s="117" t="s">
        <v>128</v>
      </c>
      <c r="AE58" s="50"/>
      <c r="AF58" s="50" t="s">
        <v>129</v>
      </c>
      <c r="AG58" s="50" t="s">
        <v>129</v>
      </c>
      <c r="AH58" s="50" t="s">
        <v>129</v>
      </c>
      <c r="AI58" s="50" t="s">
        <v>129</v>
      </c>
      <c r="AJ58" s="50" t="s">
        <v>32</v>
      </c>
    </row>
    <row r="59" spans="27:36" ht="13.5" thickTop="1">
      <c r="AA59" s="29">
        <v>1</v>
      </c>
      <c r="AB59" s="39">
        <v>25</v>
      </c>
      <c r="AC59" s="39">
        <f>0.344*POWER(AD59,-0.5478)</f>
        <v>0.0006623210015854112</v>
      </c>
      <c r="AD59" s="118">
        <f>($O$12/0.344)^(1/0.4522)</f>
        <v>90590.51405040271</v>
      </c>
      <c r="AE59" s="51">
        <f aca="true" t="shared" si="24" ref="AE59:AE64">$O$11/AB59</f>
        <v>100</v>
      </c>
      <c r="AF59" s="52">
        <f aca="true" t="shared" si="25" ref="AF59:AF64">($C$21+$C$22/AE59)*100/($O$13-4.9)</f>
        <v>127.00000000000001</v>
      </c>
      <c r="AG59" s="51">
        <f aca="true" t="shared" si="26" ref="AG59:AG64">AF59*AE59</f>
        <v>12700.000000000002</v>
      </c>
      <c r="AH59" s="53">
        <f aca="true" t="shared" si="27" ref="AH59:AH64">SQRT(AD59/AE59)</f>
        <v>30.098258097505028</v>
      </c>
      <c r="AI59" s="54">
        <f aca="true" t="shared" si="28" ref="AI59:AI64">(AH59*AE59)</f>
        <v>3009.8258097505027</v>
      </c>
      <c r="AJ59" s="55">
        <f aca="true" t="shared" si="29" ref="AJ59:AJ64">(($C$21/AH59)+($C$22/AI59))*100+5</f>
        <v>47.61708421280128</v>
      </c>
    </row>
    <row r="60" spans="27:36" ht="12.75">
      <c r="AA60" s="29">
        <v>2</v>
      </c>
      <c r="AB60" s="39">
        <v>50</v>
      </c>
      <c r="AC60" s="39">
        <f>0.275*POWER(AD60,-0.5478)</f>
        <v>0.0004037034378145836</v>
      </c>
      <c r="AD60" s="118">
        <f>($O$12/0.275)^(1/0.4522)</f>
        <v>148623.95109837365</v>
      </c>
      <c r="AE60" s="51">
        <f t="shared" si="24"/>
        <v>50</v>
      </c>
      <c r="AF60" s="52">
        <f t="shared" si="25"/>
        <v>128.25742574257424</v>
      </c>
      <c r="AG60" s="51">
        <f t="shared" si="26"/>
        <v>6412.871287128712</v>
      </c>
      <c r="AH60" s="53">
        <f t="shared" si="27"/>
        <v>54.520445907636095</v>
      </c>
      <c r="AI60" s="54">
        <f t="shared" si="28"/>
        <v>2726.0222953818047</v>
      </c>
      <c r="AJ60" s="55">
        <f t="shared" si="29"/>
        <v>28.759893713902425</v>
      </c>
    </row>
    <row r="61" spans="27:36" ht="12.75">
      <c r="AA61" s="29">
        <v>3</v>
      </c>
      <c r="AB61" s="39">
        <v>75</v>
      </c>
      <c r="AC61" s="39">
        <f>0.275*POWER(AD61,-0.5478)</f>
        <v>0.0004037034378145836</v>
      </c>
      <c r="AD61" s="118">
        <f>($O$12/0.275)^(1/0.4522)</f>
        <v>148623.95109837365</v>
      </c>
      <c r="AE61" s="51">
        <f t="shared" si="24"/>
        <v>33.333333333333336</v>
      </c>
      <c r="AF61" s="52">
        <f t="shared" si="25"/>
        <v>129.5148514851485</v>
      </c>
      <c r="AG61" s="51">
        <f t="shared" si="26"/>
        <v>4317.161716171618</v>
      </c>
      <c r="AH61" s="53">
        <f t="shared" si="27"/>
        <v>66.77363651135985</v>
      </c>
      <c r="AI61" s="54">
        <f t="shared" si="28"/>
        <v>2225.787883711995</v>
      </c>
      <c r="AJ61" s="55">
        <f t="shared" si="29"/>
        <v>24.59006680394679</v>
      </c>
    </row>
    <row r="62" spans="27:36" ht="12.75">
      <c r="AA62" s="29">
        <v>4</v>
      </c>
      <c r="AB62" s="39">
        <v>100</v>
      </c>
      <c r="AC62" s="39">
        <f>0.206*POWER(AD62,-0.5478)</f>
        <v>0.00021311142577944822</v>
      </c>
      <c r="AD62" s="118">
        <f>($O$12/0.206)^(1/0.4522)</f>
        <v>281542.85853305104</v>
      </c>
      <c r="AE62" s="51">
        <f t="shared" si="24"/>
        <v>25</v>
      </c>
      <c r="AF62" s="52">
        <f t="shared" si="25"/>
        <v>130.77227722772275</v>
      </c>
      <c r="AG62" s="51">
        <f t="shared" si="26"/>
        <v>3269.306930693069</v>
      </c>
      <c r="AH62" s="53">
        <f t="shared" si="27"/>
        <v>106.12122474473257</v>
      </c>
      <c r="AI62" s="54">
        <f t="shared" si="28"/>
        <v>2653.0306186183143</v>
      </c>
      <c r="AJ62" s="55">
        <f t="shared" si="29"/>
        <v>17.446143579449775</v>
      </c>
    </row>
    <row r="63" spans="27:36" ht="12.75">
      <c r="AA63" s="29">
        <v>5</v>
      </c>
      <c r="AB63" s="39">
        <v>250</v>
      </c>
      <c r="AC63" s="39">
        <f>0.206*POWER(AD63,-0.5478)</f>
        <v>0.00021311142577944822</v>
      </c>
      <c r="AD63" s="118">
        <f>($O$12/0.206)^(1/0.4522)</f>
        <v>281542.85853305104</v>
      </c>
      <c r="AE63" s="51">
        <f t="shared" si="24"/>
        <v>10</v>
      </c>
      <c r="AF63" s="52">
        <f t="shared" si="25"/>
        <v>138.31683168316832</v>
      </c>
      <c r="AG63" s="51">
        <f t="shared" si="26"/>
        <v>1383.1683168316831</v>
      </c>
      <c r="AH63" s="53">
        <f t="shared" si="27"/>
        <v>167.79238913998782</v>
      </c>
      <c r="AI63" s="54">
        <f t="shared" si="28"/>
        <v>1677.9238913998781</v>
      </c>
      <c r="AJ63" s="55">
        <f t="shared" si="29"/>
        <v>13.325764995422375</v>
      </c>
    </row>
    <row r="64" spans="27:36" ht="13.5" thickBot="1">
      <c r="AA64" s="29">
        <v>6</v>
      </c>
      <c r="AB64" s="39">
        <v>1000</v>
      </c>
      <c r="AC64" s="39">
        <f>0.344*POWER(AD64,-0.5478)</f>
        <v>0.0006182681351623758</v>
      </c>
      <c r="AD64" s="118">
        <f>($O$12/0.325)^(1/0.4522)</f>
        <v>102718.68902157355</v>
      </c>
      <c r="AE64" s="51">
        <f t="shared" si="24"/>
        <v>2.5</v>
      </c>
      <c r="AF64" s="52">
        <f t="shared" si="25"/>
        <v>176.03960396039605</v>
      </c>
      <c r="AG64" s="51">
        <f t="shared" si="26"/>
        <v>440.09900990099015</v>
      </c>
      <c r="AH64" s="53">
        <f t="shared" si="27"/>
        <v>202.70045784020672</v>
      </c>
      <c r="AI64" s="54">
        <f t="shared" si="28"/>
        <v>506.7511446005168</v>
      </c>
      <c r="AJ64" s="55">
        <f t="shared" si="29"/>
        <v>13.771563808709484</v>
      </c>
    </row>
    <row r="65" spans="27:36" ht="13.5" thickBot="1">
      <c r="AA65" s="57" t="s">
        <v>5</v>
      </c>
      <c r="AB65" s="2"/>
      <c r="AC65" s="2"/>
      <c r="AD65" s="114"/>
      <c r="AE65" s="2"/>
      <c r="AH65" s="2"/>
      <c r="AI65" s="2"/>
      <c r="AJ65" s="2"/>
    </row>
    <row r="66" spans="27:36" ht="12.75">
      <c r="AA66" s="27"/>
      <c r="AB66" s="30"/>
      <c r="AC66" s="30"/>
      <c r="AD66" s="115"/>
      <c r="AE66" s="40"/>
      <c r="AF66" s="41"/>
      <c r="AG66" s="42"/>
      <c r="AH66" s="40"/>
      <c r="AI66" s="40"/>
      <c r="AJ66" s="43"/>
    </row>
    <row r="67" spans="27:36" ht="14.25">
      <c r="AA67" s="58"/>
      <c r="AB67" s="31" t="s">
        <v>17</v>
      </c>
      <c r="AC67" s="32" t="s">
        <v>18</v>
      </c>
      <c r="AD67" s="116" t="s">
        <v>34</v>
      </c>
      <c r="AE67" s="44" t="s">
        <v>37</v>
      </c>
      <c r="AF67" s="45" t="s">
        <v>79</v>
      </c>
      <c r="AG67" s="46" t="s">
        <v>80</v>
      </c>
      <c r="AH67" s="47" t="s">
        <v>38</v>
      </c>
      <c r="AI67" s="47" t="s">
        <v>39</v>
      </c>
      <c r="AJ67" s="47" t="s">
        <v>19</v>
      </c>
    </row>
    <row r="68" spans="27:36" ht="12.75">
      <c r="AA68" s="28" t="s">
        <v>20</v>
      </c>
      <c r="AB68" s="33" t="s">
        <v>21</v>
      </c>
      <c r="AC68" s="34" t="s">
        <v>22</v>
      </c>
      <c r="AD68" s="140" t="s">
        <v>36</v>
      </c>
      <c r="AE68" s="48" t="s">
        <v>23</v>
      </c>
      <c r="AF68" s="48" t="s">
        <v>81</v>
      </c>
      <c r="AG68" s="48" t="s">
        <v>81</v>
      </c>
      <c r="AH68" s="48" t="s">
        <v>24</v>
      </c>
      <c r="AI68" s="48" t="s">
        <v>24</v>
      </c>
      <c r="AJ68" s="48" t="s">
        <v>25</v>
      </c>
    </row>
    <row r="69" spans="27:36" ht="12.75">
      <c r="AA69" s="1"/>
      <c r="AB69" s="35" t="s">
        <v>35</v>
      </c>
      <c r="AC69" s="36" t="s">
        <v>102</v>
      </c>
      <c r="AD69" s="141"/>
      <c r="AE69" s="49" t="s">
        <v>27</v>
      </c>
      <c r="AF69" s="49" t="s">
        <v>28</v>
      </c>
      <c r="AG69" s="49" t="s">
        <v>29</v>
      </c>
      <c r="AH69" s="49" t="s">
        <v>28</v>
      </c>
      <c r="AI69" s="49" t="s">
        <v>29</v>
      </c>
      <c r="AJ69" s="49" t="s">
        <v>30</v>
      </c>
    </row>
    <row r="70" spans="27:36" ht="13.5" thickBot="1">
      <c r="AA70" s="59"/>
      <c r="AB70" s="37" t="s">
        <v>31</v>
      </c>
      <c r="AC70" s="38" t="s">
        <v>127</v>
      </c>
      <c r="AD70" s="117" t="s">
        <v>128</v>
      </c>
      <c r="AE70" s="50"/>
      <c r="AF70" s="50" t="s">
        <v>129</v>
      </c>
      <c r="AG70" s="50" t="s">
        <v>129</v>
      </c>
      <c r="AH70" s="50" t="s">
        <v>129</v>
      </c>
      <c r="AI70" s="50" t="s">
        <v>129</v>
      </c>
      <c r="AJ70" s="50" t="s">
        <v>32</v>
      </c>
    </row>
    <row r="71" spans="27:36" ht="13.5" thickTop="1">
      <c r="AA71" s="29">
        <v>1</v>
      </c>
      <c r="AB71" s="39">
        <v>25</v>
      </c>
      <c r="AC71" s="39">
        <f>0.344*POWER(AD71,-0.5478)</f>
        <v>0.0006623210015854112</v>
      </c>
      <c r="AD71" s="118">
        <f>($R$12/0.344)^(1/0.4522)</f>
        <v>90590.51405040271</v>
      </c>
      <c r="AE71" s="51">
        <f aca="true" t="shared" si="30" ref="AE71:AE76">$R$11/AB71</f>
        <v>200</v>
      </c>
      <c r="AF71" s="52">
        <f aca="true" t="shared" si="31" ref="AF71:AF76">($C$21+$C$22/AE71)*100/($R$13-4.9)</f>
        <v>84.52649006622516</v>
      </c>
      <c r="AG71" s="51">
        <f aca="true" t="shared" si="32" ref="AG71:AG76">AF71*AE71</f>
        <v>16905.298013245032</v>
      </c>
      <c r="AH71" s="53">
        <f aca="true" t="shared" si="33" ref="AH71:AH76">SQRT(AD71/AE71)</f>
        <v>21.28268240264872</v>
      </c>
      <c r="AI71" s="54">
        <f aca="true" t="shared" si="34" ref="AI71:AI76">(AH71*AE71)</f>
        <v>4256.536480529744</v>
      </c>
      <c r="AJ71" s="55">
        <f aca="true" t="shared" si="35" ref="AJ71:AJ76">(($C$21/AH71)+($C$22/AI71))*100+5</f>
        <v>64.97129383658671</v>
      </c>
    </row>
    <row r="72" spans="27:36" ht="12.75">
      <c r="AA72" s="29">
        <v>2</v>
      </c>
      <c r="AB72" s="39">
        <v>50</v>
      </c>
      <c r="AC72" s="39">
        <f>0.275*POWER(AD72,-0.5478)</f>
        <v>0.0004037034378145836</v>
      </c>
      <c r="AD72" s="118">
        <f>($R$12/0.275)^(1/0.4522)</f>
        <v>148623.95109837365</v>
      </c>
      <c r="AE72" s="51">
        <f t="shared" si="30"/>
        <v>100</v>
      </c>
      <c r="AF72" s="52">
        <f t="shared" si="31"/>
        <v>84.94701986754967</v>
      </c>
      <c r="AG72" s="51">
        <f t="shared" si="32"/>
        <v>8494.701986754968</v>
      </c>
      <c r="AH72" s="53">
        <f t="shared" si="33"/>
        <v>38.551777014603836</v>
      </c>
      <c r="AI72" s="54">
        <f t="shared" si="34"/>
        <v>3855.1777014603836</v>
      </c>
      <c r="AJ72" s="55">
        <f t="shared" si="35"/>
        <v>38.27213683338382</v>
      </c>
    </row>
    <row r="73" spans="27:36" ht="12.75">
      <c r="AA73" s="29">
        <v>3</v>
      </c>
      <c r="AB73" s="39">
        <v>75</v>
      </c>
      <c r="AC73" s="39">
        <f>0.275*POWER(AD73,-0.5478)</f>
        <v>0.0004037034378145836</v>
      </c>
      <c r="AD73" s="118">
        <f>($R$12/0.275)^(1/0.4522)</f>
        <v>148623.95109837365</v>
      </c>
      <c r="AE73" s="51">
        <f t="shared" si="30"/>
        <v>66.66666666666667</v>
      </c>
      <c r="AF73" s="52">
        <f t="shared" si="31"/>
        <v>85.36754966887418</v>
      </c>
      <c r="AG73" s="51">
        <f t="shared" si="32"/>
        <v>5691.169977924946</v>
      </c>
      <c r="AH73" s="53">
        <f t="shared" si="33"/>
        <v>47.21609118166819</v>
      </c>
      <c r="AI73" s="54">
        <f t="shared" si="34"/>
        <v>3147.739412111213</v>
      </c>
      <c r="AJ73" s="55">
        <f t="shared" si="35"/>
        <v>32.30107401394714</v>
      </c>
    </row>
    <row r="74" spans="27:36" ht="12.75">
      <c r="AA74" s="29">
        <v>4</v>
      </c>
      <c r="AB74" s="39">
        <v>100</v>
      </c>
      <c r="AC74" s="39">
        <f>0.206*POWER(AD74,-0.5478)</f>
        <v>0.00021311142577944822</v>
      </c>
      <c r="AD74" s="118">
        <f>($R$12/0.206)^(1/0.4522)</f>
        <v>281542.85853305104</v>
      </c>
      <c r="AE74" s="51">
        <f t="shared" si="30"/>
        <v>50</v>
      </c>
      <c r="AF74" s="52">
        <f t="shared" si="31"/>
        <v>85.78807947019867</v>
      </c>
      <c r="AG74" s="51">
        <f t="shared" si="32"/>
        <v>4289.403973509933</v>
      </c>
      <c r="AH74" s="53">
        <f t="shared" si="33"/>
        <v>75.03903764482205</v>
      </c>
      <c r="AI74" s="54">
        <f t="shared" si="34"/>
        <v>3751.9518822411023</v>
      </c>
      <c r="AJ74" s="55">
        <f t="shared" si="35"/>
        <v>22.263014567583372</v>
      </c>
    </row>
    <row r="75" spans="27:36" ht="12.75">
      <c r="AA75" s="29">
        <v>5</v>
      </c>
      <c r="AB75" s="39">
        <v>250</v>
      </c>
      <c r="AC75" s="39">
        <f>0.206*POWER(AD75,-0.5478)</f>
        <v>0.00021311142577944822</v>
      </c>
      <c r="AD75" s="118">
        <f>($R$12/0.206)^(1/0.4522)</f>
        <v>281542.85853305104</v>
      </c>
      <c r="AE75" s="51">
        <f t="shared" si="30"/>
        <v>20</v>
      </c>
      <c r="AF75" s="52">
        <f t="shared" si="31"/>
        <v>88.3112582781457</v>
      </c>
      <c r="AG75" s="51">
        <f t="shared" si="32"/>
        <v>1766.225165562914</v>
      </c>
      <c r="AH75" s="53">
        <f t="shared" si="33"/>
        <v>118.6471361923774</v>
      </c>
      <c r="AI75" s="54">
        <f t="shared" si="34"/>
        <v>2372.942723847548</v>
      </c>
      <c r="AJ75" s="55">
        <f t="shared" si="35"/>
        <v>16.23920932940033</v>
      </c>
    </row>
    <row r="76" spans="27:36" ht="12.75">
      <c r="AA76" s="29">
        <v>6</v>
      </c>
      <c r="AB76" s="39">
        <v>1000</v>
      </c>
      <c r="AC76" s="39">
        <f>0.325*POWER(AD76,-0.5478)</f>
        <v>0.0005841196044411982</v>
      </c>
      <c r="AD76" s="118">
        <f>($R$12/0.325)^(1/0.4522)</f>
        <v>102718.68902157355</v>
      </c>
      <c r="AE76" s="51">
        <f t="shared" si="30"/>
        <v>5</v>
      </c>
      <c r="AF76" s="52">
        <f t="shared" si="31"/>
        <v>100.92715231788078</v>
      </c>
      <c r="AG76" s="51">
        <f t="shared" si="32"/>
        <v>504.6357615894039</v>
      </c>
      <c r="AH76" s="53">
        <f t="shared" si="33"/>
        <v>143.33086828842806</v>
      </c>
      <c r="AI76" s="54">
        <f t="shared" si="34"/>
        <v>716.6543414421403</v>
      </c>
      <c r="AJ76" s="55">
        <f t="shared" si="35"/>
        <v>15.632741001283959</v>
      </c>
    </row>
  </sheetData>
  <sheetProtection password="CADF" sheet="1" objects="1" scenarios="1" selectLockedCells="1"/>
  <mergeCells count="94">
    <mergeCell ref="B46:S46"/>
    <mergeCell ref="A25:T25"/>
    <mergeCell ref="A15:S15"/>
    <mergeCell ref="A40:T40"/>
    <mergeCell ref="C33:D33"/>
    <mergeCell ref="F33:G33"/>
    <mergeCell ref="I33:J33"/>
    <mergeCell ref="L33:M33"/>
    <mergeCell ref="C21:D21"/>
    <mergeCell ref="C22:D22"/>
    <mergeCell ref="I31:J31"/>
    <mergeCell ref="R13:S13"/>
    <mergeCell ref="C12:D12"/>
    <mergeCell ref="F12:G12"/>
    <mergeCell ref="C13:D13"/>
    <mergeCell ref="F13:G13"/>
    <mergeCell ref="I13:J13"/>
    <mergeCell ref="L13:M13"/>
    <mergeCell ref="I12:J12"/>
    <mergeCell ref="L12:M12"/>
    <mergeCell ref="R53:S53"/>
    <mergeCell ref="H14:P14"/>
    <mergeCell ref="O13:P13"/>
    <mergeCell ref="B19:D19"/>
    <mergeCell ref="AD56:AD57"/>
    <mergeCell ref="AD20:AD21"/>
    <mergeCell ref="B30:S30"/>
    <mergeCell ref="B31:B32"/>
    <mergeCell ref="C31:D31"/>
    <mergeCell ref="F31:G31"/>
    <mergeCell ref="C20:D20"/>
    <mergeCell ref="AD68:AD69"/>
    <mergeCell ref="AD44:AD45"/>
    <mergeCell ref="O33:P33"/>
    <mergeCell ref="R33:S33"/>
    <mergeCell ref="AD32:AD33"/>
    <mergeCell ref="O54:P54"/>
    <mergeCell ref="R50:S50"/>
    <mergeCell ref="R51:S51"/>
    <mergeCell ref="R52:S52"/>
    <mergeCell ref="L11:M11"/>
    <mergeCell ref="O10:P10"/>
    <mergeCell ref="R10:S10"/>
    <mergeCell ref="O11:P11"/>
    <mergeCell ref="R11:S11"/>
    <mergeCell ref="L31:M31"/>
    <mergeCell ref="O31:P31"/>
    <mergeCell ref="R31:S31"/>
    <mergeCell ref="O12:P12"/>
    <mergeCell ref="AD8:AD9"/>
    <mergeCell ref="B9:S9"/>
    <mergeCell ref="A4:S4"/>
    <mergeCell ref="A3:S3"/>
    <mergeCell ref="A2:T2"/>
    <mergeCell ref="C10:D10"/>
    <mergeCell ref="F10:G10"/>
    <mergeCell ref="I10:J10"/>
    <mergeCell ref="L10:M10"/>
    <mergeCell ref="F54:G54"/>
    <mergeCell ref="C50:D50"/>
    <mergeCell ref="C51:D51"/>
    <mergeCell ref="C52:D52"/>
    <mergeCell ref="C53:D53"/>
    <mergeCell ref="A1:T1"/>
    <mergeCell ref="R12:S12"/>
    <mergeCell ref="C11:D11"/>
    <mergeCell ref="F11:G11"/>
    <mergeCell ref="I11:J11"/>
    <mergeCell ref="L54:M54"/>
    <mergeCell ref="I50:J50"/>
    <mergeCell ref="I51:J51"/>
    <mergeCell ref="I52:J52"/>
    <mergeCell ref="I53:J53"/>
    <mergeCell ref="C54:D54"/>
    <mergeCell ref="F50:G50"/>
    <mergeCell ref="F51:G51"/>
    <mergeCell ref="F52:G52"/>
    <mergeCell ref="F53:G53"/>
    <mergeCell ref="R54:S54"/>
    <mergeCell ref="O50:P50"/>
    <mergeCell ref="O51:P51"/>
    <mergeCell ref="O52:P52"/>
    <mergeCell ref="O53:P53"/>
    <mergeCell ref="I54:J54"/>
    <mergeCell ref="L50:M50"/>
    <mergeCell ref="L51:M51"/>
    <mergeCell ref="L52:M52"/>
    <mergeCell ref="L53:M53"/>
    <mergeCell ref="F49:G49"/>
    <mergeCell ref="C49:D49"/>
    <mergeCell ref="R49:S49"/>
    <mergeCell ref="O49:P49"/>
    <mergeCell ref="L49:M49"/>
    <mergeCell ref="I49:J49"/>
  </mergeCells>
  <printOptions/>
  <pageMargins left="0.75" right="0.75" top="1" bottom="1" header="0.5" footer="0.5"/>
  <pageSetup fitToWidth="2" fitToHeight="1" horizontalDpi="600" verticalDpi="600" orientation="landscape" scale="65" r:id="rId4"/>
  <drawing r:id="rId3"/>
  <legacyDrawing r:id="rId2"/>
</worksheet>
</file>

<file path=xl/worksheets/sheet2.xml><?xml version="1.0" encoding="utf-8"?>
<worksheet xmlns="http://schemas.openxmlformats.org/spreadsheetml/2006/main" xmlns:r="http://schemas.openxmlformats.org/officeDocument/2006/relationships">
  <sheetPr>
    <tabColor indexed="47"/>
    <pageSetUpPr fitToPage="1"/>
  </sheetPr>
  <dimension ref="A1:AJ70"/>
  <sheetViews>
    <sheetView showGridLines="0" tabSelected="1" zoomScalePageLayoutView="0" workbookViewId="0" topLeftCell="A1">
      <selection activeCell="C11" sqref="C11:D11"/>
    </sheetView>
  </sheetViews>
  <sheetFormatPr defaultColWidth="9.140625" defaultRowHeight="12.75"/>
  <cols>
    <col min="1" max="1" width="2.140625" style="0" customWidth="1"/>
    <col min="2" max="2" width="23.8515625" style="0" customWidth="1"/>
    <col min="3" max="4" width="9.7109375" style="0" customWidth="1"/>
    <col min="5" max="5" width="4.7109375" style="0" customWidth="1"/>
    <col min="6" max="7" width="9.7109375" style="0" customWidth="1"/>
    <col min="8" max="8" width="4.7109375" style="0" customWidth="1"/>
    <col min="9" max="10" width="9.7109375" style="0" customWidth="1"/>
    <col min="11" max="11" width="4.7109375" style="0" customWidth="1"/>
    <col min="12" max="13" width="9.7109375" style="0" customWidth="1"/>
    <col min="14" max="14" width="4.7109375" style="0" customWidth="1"/>
    <col min="15" max="16" width="9.7109375" style="0" customWidth="1"/>
    <col min="17" max="17" width="4.7109375" style="0" customWidth="1"/>
    <col min="18" max="19" width="9.7109375" style="0" customWidth="1"/>
    <col min="20" max="20" width="4.7109375" style="0" customWidth="1"/>
    <col min="21" max="25" width="1.57421875" style="0" customWidth="1"/>
    <col min="26" max="26" width="57.7109375" style="0" customWidth="1"/>
    <col min="27" max="27" width="10.28125" style="0" customWidth="1"/>
    <col min="28" max="28" width="10.8515625" style="0" bestFit="1" customWidth="1"/>
    <col min="30" max="30" width="15.140625" style="113" bestFit="1" customWidth="1"/>
    <col min="32" max="32" width="10.28125" style="113" customWidth="1"/>
    <col min="33" max="33" width="9.421875" style="0" customWidth="1"/>
  </cols>
  <sheetData>
    <row r="1" spans="1:20" ht="15.75">
      <c r="A1" s="139" t="s">
        <v>100</v>
      </c>
      <c r="B1" s="139"/>
      <c r="C1" s="139"/>
      <c r="D1" s="139"/>
      <c r="E1" s="139"/>
      <c r="F1" s="139"/>
      <c r="G1" s="139"/>
      <c r="H1" s="139"/>
      <c r="I1" s="139"/>
      <c r="J1" s="139"/>
      <c r="K1" s="139"/>
      <c r="L1" s="139"/>
      <c r="M1" s="139"/>
      <c r="N1" s="139"/>
      <c r="O1" s="139"/>
      <c r="P1" s="139"/>
      <c r="Q1" s="139"/>
      <c r="R1" s="139"/>
      <c r="S1" s="139"/>
      <c r="T1" s="139"/>
    </row>
    <row r="2" spans="1:20" ht="15.75">
      <c r="A2" s="145" t="s">
        <v>114</v>
      </c>
      <c r="B2" s="173"/>
      <c r="C2" s="173"/>
      <c r="D2" s="173"/>
      <c r="E2" s="173"/>
      <c r="F2" s="173"/>
      <c r="G2" s="173"/>
      <c r="H2" s="173"/>
      <c r="I2" s="173"/>
      <c r="J2" s="173"/>
      <c r="K2" s="173"/>
      <c r="L2" s="173"/>
      <c r="M2" s="173"/>
      <c r="N2" s="173"/>
      <c r="O2" s="173"/>
      <c r="P2" s="173"/>
      <c r="Q2" s="173"/>
      <c r="R2" s="173"/>
      <c r="S2" s="173"/>
      <c r="T2" s="173"/>
    </row>
    <row r="3" spans="1:20" ht="15.75">
      <c r="A3" s="145" t="s">
        <v>144</v>
      </c>
      <c r="B3" s="145"/>
      <c r="C3" s="145"/>
      <c r="D3" s="145"/>
      <c r="E3" s="145"/>
      <c r="F3" s="145"/>
      <c r="G3" s="145"/>
      <c r="H3" s="145"/>
      <c r="I3" s="145"/>
      <c r="J3" s="145"/>
      <c r="K3" s="145"/>
      <c r="L3" s="145"/>
      <c r="M3" s="145"/>
      <c r="N3" s="145"/>
      <c r="O3" s="145"/>
      <c r="P3" s="145"/>
      <c r="Q3" s="145"/>
      <c r="R3" s="145"/>
      <c r="S3" s="145"/>
      <c r="T3" s="77"/>
    </row>
    <row r="4" spans="1:19" ht="13.5" thickBot="1">
      <c r="A4" s="144" t="s">
        <v>110</v>
      </c>
      <c r="B4" s="144"/>
      <c r="C4" s="144"/>
      <c r="D4" s="144"/>
      <c r="E4" s="144"/>
      <c r="F4" s="144"/>
      <c r="G4" s="144"/>
      <c r="H4" s="144"/>
      <c r="I4" s="144"/>
      <c r="J4" s="144"/>
      <c r="K4" s="144"/>
      <c r="L4" s="144"/>
      <c r="M4" s="144"/>
      <c r="N4" s="144"/>
      <c r="O4" s="144"/>
      <c r="P4" s="144"/>
      <c r="Q4" s="144"/>
      <c r="R4" s="144"/>
      <c r="S4" s="144"/>
    </row>
    <row r="5" spans="27:36" ht="13.5" thickBot="1">
      <c r="AA5" s="56" t="s">
        <v>0</v>
      </c>
      <c r="AB5" s="2"/>
      <c r="AC5" s="2"/>
      <c r="AD5" s="114"/>
      <c r="AE5" s="2"/>
      <c r="AH5" s="2"/>
      <c r="AI5" s="2"/>
      <c r="AJ5" s="2"/>
    </row>
    <row r="6" spans="2:36" ht="12.75">
      <c r="B6" t="s">
        <v>134</v>
      </c>
      <c r="AA6" s="27"/>
      <c r="AB6" s="30"/>
      <c r="AC6" s="30"/>
      <c r="AD6" s="115"/>
      <c r="AE6" s="40"/>
      <c r="AF6" s="119"/>
      <c r="AG6" s="42"/>
      <c r="AH6" s="40"/>
      <c r="AI6" s="40"/>
      <c r="AJ6" s="43"/>
    </row>
    <row r="7" spans="2:36" ht="14.25">
      <c r="B7" s="174" t="s">
        <v>135</v>
      </c>
      <c r="C7" s="174"/>
      <c r="AA7" s="58"/>
      <c r="AB7" s="31" t="s">
        <v>33</v>
      </c>
      <c r="AC7" s="32" t="s">
        <v>18</v>
      </c>
      <c r="AD7" s="116" t="s">
        <v>34</v>
      </c>
      <c r="AE7" s="44" t="s">
        <v>37</v>
      </c>
      <c r="AF7" s="120" t="s">
        <v>40</v>
      </c>
      <c r="AG7" s="46" t="s">
        <v>44</v>
      </c>
      <c r="AH7" s="47" t="s">
        <v>38</v>
      </c>
      <c r="AI7" s="47" t="s">
        <v>39</v>
      </c>
      <c r="AJ7" s="47" t="s">
        <v>19</v>
      </c>
    </row>
    <row r="8" spans="27:36" ht="12.75">
      <c r="AA8" s="28" t="s">
        <v>20</v>
      </c>
      <c r="AB8" s="33" t="s">
        <v>21</v>
      </c>
      <c r="AC8" s="34" t="s">
        <v>22</v>
      </c>
      <c r="AD8" s="140" t="s">
        <v>36</v>
      </c>
      <c r="AE8" s="48" t="s">
        <v>23</v>
      </c>
      <c r="AF8" s="121" t="s">
        <v>41</v>
      </c>
      <c r="AG8" s="48" t="s">
        <v>22</v>
      </c>
      <c r="AH8" s="48" t="s">
        <v>24</v>
      </c>
      <c r="AI8" s="48" t="s">
        <v>24</v>
      </c>
      <c r="AJ8" s="48" t="s">
        <v>25</v>
      </c>
    </row>
    <row r="9" spans="2:36" ht="12.75">
      <c r="B9" s="142" t="s">
        <v>6</v>
      </c>
      <c r="C9" s="143"/>
      <c r="D9" s="143"/>
      <c r="E9" s="142"/>
      <c r="F9" s="142"/>
      <c r="G9" s="142"/>
      <c r="H9" s="142"/>
      <c r="I9" s="142"/>
      <c r="J9" s="142"/>
      <c r="K9" s="142"/>
      <c r="L9" s="142"/>
      <c r="M9" s="142"/>
      <c r="N9" s="142"/>
      <c r="O9" s="142"/>
      <c r="P9" s="142"/>
      <c r="Q9" s="142"/>
      <c r="R9" s="142"/>
      <c r="S9" s="142"/>
      <c r="AA9" s="1"/>
      <c r="AB9" s="35" t="s">
        <v>35</v>
      </c>
      <c r="AC9" s="36" t="s">
        <v>26</v>
      </c>
      <c r="AD9" s="141"/>
      <c r="AE9" s="49" t="s">
        <v>27</v>
      </c>
      <c r="AF9" s="122" t="s">
        <v>42</v>
      </c>
      <c r="AG9" s="49" t="s">
        <v>45</v>
      </c>
      <c r="AH9" s="49" t="s">
        <v>28</v>
      </c>
      <c r="AI9" s="49" t="s">
        <v>29</v>
      </c>
      <c r="AJ9" s="49" t="s">
        <v>30</v>
      </c>
    </row>
    <row r="10" spans="2:36" ht="15" thickBot="1">
      <c r="B10" s="15"/>
      <c r="C10" s="146" t="s">
        <v>9</v>
      </c>
      <c r="D10" s="147"/>
      <c r="E10" s="6"/>
      <c r="F10" s="148" t="s">
        <v>10</v>
      </c>
      <c r="G10" s="149"/>
      <c r="H10" s="4"/>
      <c r="I10" s="146" t="s">
        <v>11</v>
      </c>
      <c r="J10" s="147"/>
      <c r="K10" s="4"/>
      <c r="L10" s="148" t="s">
        <v>12</v>
      </c>
      <c r="M10" s="149"/>
      <c r="N10" s="4"/>
      <c r="O10" s="146" t="s">
        <v>13</v>
      </c>
      <c r="P10" s="147"/>
      <c r="Q10" s="4"/>
      <c r="R10" s="148" t="s">
        <v>14</v>
      </c>
      <c r="S10" s="149"/>
      <c r="AA10" s="59"/>
      <c r="AB10" s="37" t="s">
        <v>31</v>
      </c>
      <c r="AC10" s="38" t="s">
        <v>127</v>
      </c>
      <c r="AD10" s="117" t="s">
        <v>128</v>
      </c>
      <c r="AE10" s="84"/>
      <c r="AF10" s="123" t="s">
        <v>43</v>
      </c>
      <c r="AG10" s="97" t="s">
        <v>46</v>
      </c>
      <c r="AH10" s="97" t="s">
        <v>129</v>
      </c>
      <c r="AI10" s="97" t="s">
        <v>129</v>
      </c>
      <c r="AJ10" s="97" t="s">
        <v>32</v>
      </c>
    </row>
    <row r="11" spans="2:36" ht="12.75">
      <c r="B11" s="12" t="s">
        <v>136</v>
      </c>
      <c r="C11" s="152">
        <v>254</v>
      </c>
      <c r="D11" s="153"/>
      <c r="E11" s="3"/>
      <c r="F11" s="154">
        <v>1524</v>
      </c>
      <c r="G11" s="155"/>
      <c r="H11" s="5"/>
      <c r="I11" s="152">
        <v>2286</v>
      </c>
      <c r="J11" s="153"/>
      <c r="K11" s="5"/>
      <c r="L11" s="154">
        <v>3048</v>
      </c>
      <c r="M11" s="155"/>
      <c r="N11" s="5"/>
      <c r="O11" s="152">
        <v>6096</v>
      </c>
      <c r="P11" s="153"/>
      <c r="Q11" s="5"/>
      <c r="R11" s="154">
        <v>12192</v>
      </c>
      <c r="S11" s="155"/>
      <c r="AA11" s="29">
        <v>1</v>
      </c>
      <c r="AB11" s="39">
        <v>25</v>
      </c>
      <c r="AC11" s="39">
        <f>0.344*POWER(AD11,-0.5478)</f>
        <v>0.0007976688316723526</v>
      </c>
      <c r="AD11" s="118">
        <f>$C$11*$C$12</f>
        <v>64516</v>
      </c>
      <c r="AE11" s="51">
        <f>$C$11/$C$12</f>
        <v>1</v>
      </c>
      <c r="AF11" s="124">
        <f>AB11*AE11</f>
        <v>25</v>
      </c>
      <c r="AG11" s="51">
        <f>AC11*AD11</f>
        <v>51.4624023441735</v>
      </c>
      <c r="AH11" s="53">
        <f>SQRT(AD11/AE11)</f>
        <v>254</v>
      </c>
      <c r="AI11" s="54">
        <f>(AH11*AE11)</f>
        <v>254</v>
      </c>
      <c r="AJ11" s="55">
        <f>(($C$21/AH11)+($C$22/AI11))*100+5</f>
        <v>15</v>
      </c>
    </row>
    <row r="12" spans="2:36" ht="12.75">
      <c r="B12" s="12" t="s">
        <v>137</v>
      </c>
      <c r="C12" s="165">
        <v>254</v>
      </c>
      <c r="D12" s="166"/>
      <c r="E12" s="3"/>
      <c r="F12" s="150">
        <v>381</v>
      </c>
      <c r="G12" s="151"/>
      <c r="H12" s="5"/>
      <c r="I12" s="165">
        <v>381</v>
      </c>
      <c r="J12" s="166"/>
      <c r="K12" s="5"/>
      <c r="L12" s="150">
        <v>508</v>
      </c>
      <c r="M12" s="151"/>
      <c r="N12" s="5"/>
      <c r="O12" s="165">
        <v>508</v>
      </c>
      <c r="P12" s="166"/>
      <c r="Q12" s="5"/>
      <c r="R12" s="150">
        <v>1016</v>
      </c>
      <c r="S12" s="151"/>
      <c r="AA12" s="29">
        <v>2</v>
      </c>
      <c r="AB12" s="39">
        <v>50</v>
      </c>
      <c r="AC12" s="39">
        <f>0.275*POWER(AD12,-0.5478)</f>
        <v>0.0006376713043892355</v>
      </c>
      <c r="AD12" s="118">
        <f>$C$11*$C$12</f>
        <v>64516</v>
      </c>
      <c r="AE12" s="51">
        <f>$C$11/$C$12</f>
        <v>1</v>
      </c>
      <c r="AF12" s="124">
        <f>AB12*AE12</f>
        <v>50</v>
      </c>
      <c r="AG12" s="51">
        <f>AC12*AD12</f>
        <v>41.14000187397592</v>
      </c>
      <c r="AH12" s="53">
        <f>SQRT(AD12/AE12)</f>
        <v>254</v>
      </c>
      <c r="AI12" s="54">
        <f>(AH12*AE12)</f>
        <v>254</v>
      </c>
      <c r="AJ12" s="55">
        <f>(($C$21/AH12)+($C$22/AI12))*100+5</f>
        <v>15</v>
      </c>
    </row>
    <row r="13" spans="27:36" ht="12.75">
      <c r="AA13" s="29">
        <v>3</v>
      </c>
      <c r="AB13" s="39">
        <v>100</v>
      </c>
      <c r="AC13" s="39">
        <f>0.206*POWER(AD13,-0.5478)</f>
        <v>0.0004776737771061182</v>
      </c>
      <c r="AD13" s="118">
        <f>$C$11*$C$12</f>
        <v>64516</v>
      </c>
      <c r="AE13" s="51">
        <f>$C$11/$C$12</f>
        <v>1</v>
      </c>
      <c r="AF13" s="124">
        <f>AB13*AE13</f>
        <v>100</v>
      </c>
      <c r="AG13" s="51">
        <f>AC13*AD13</f>
        <v>30.817601403778323</v>
      </c>
      <c r="AH13" s="53">
        <f>SQRT(AD13/AE13)</f>
        <v>254</v>
      </c>
      <c r="AI13" s="54">
        <f>(AH13*AE13)</f>
        <v>254</v>
      </c>
      <c r="AJ13" s="55">
        <f>(($C$21/AH13)+($C$22/AI13))*100+5</f>
        <v>15</v>
      </c>
    </row>
    <row r="14" spans="8:36" ht="12.75">
      <c r="H14" s="172"/>
      <c r="I14" s="172"/>
      <c r="J14" s="172"/>
      <c r="K14" s="172"/>
      <c r="L14" s="172"/>
      <c r="M14" s="172"/>
      <c r="N14" s="172"/>
      <c r="O14" s="172"/>
      <c r="P14" s="172"/>
      <c r="S14" s="26"/>
      <c r="AA14" s="29">
        <v>4</v>
      </c>
      <c r="AB14" s="39">
        <v>250</v>
      </c>
      <c r="AC14" s="39">
        <f>0.206*POWER(AD14,-0.5478)</f>
        <v>0.0004776737771061182</v>
      </c>
      <c r="AD14" s="118">
        <f>$C$11*$C$12</f>
        <v>64516</v>
      </c>
      <c r="AE14" s="51">
        <f>$C$11/$C$12</f>
        <v>1</v>
      </c>
      <c r="AF14" s="124">
        <f>AB14*AE14</f>
        <v>250</v>
      </c>
      <c r="AG14" s="51">
        <f>AC14*AD14</f>
        <v>30.817601403778323</v>
      </c>
      <c r="AH14" s="53">
        <f>SQRT(AD14/AE14)</f>
        <v>254</v>
      </c>
      <c r="AI14" s="54">
        <f>(AH14*AE14)</f>
        <v>254</v>
      </c>
      <c r="AJ14" s="55">
        <f>(($C$21/AH14)+($C$22/AI14))*100+5</f>
        <v>15</v>
      </c>
    </row>
    <row r="15" spans="1:36" ht="13.5" thickBot="1">
      <c r="A15" s="144" t="s">
        <v>108</v>
      </c>
      <c r="B15" s="144"/>
      <c r="C15" s="144"/>
      <c r="D15" s="144"/>
      <c r="E15" s="144"/>
      <c r="F15" s="144"/>
      <c r="G15" s="144"/>
      <c r="H15" s="144"/>
      <c r="I15" s="144"/>
      <c r="J15" s="144"/>
      <c r="K15" s="144"/>
      <c r="L15" s="144"/>
      <c r="M15" s="144"/>
      <c r="N15" s="144"/>
      <c r="O15" s="144"/>
      <c r="P15" s="144"/>
      <c r="Q15" s="144"/>
      <c r="R15" s="144"/>
      <c r="S15" s="144"/>
      <c r="AA15" s="29">
        <v>5</v>
      </c>
      <c r="AB15" s="39">
        <v>1000</v>
      </c>
      <c r="AC15" s="39">
        <f>0.325*POWER(AD15,-0.5478)</f>
        <v>0.0007536115415509146</v>
      </c>
      <c r="AD15" s="118">
        <f>$C$11*$C$12</f>
        <v>64516</v>
      </c>
      <c r="AE15" s="51">
        <f>$C$11/$C$12</f>
        <v>1</v>
      </c>
      <c r="AF15" s="124">
        <f>AB15*AE15</f>
        <v>1000</v>
      </c>
      <c r="AG15" s="51">
        <f>AC15*AD15</f>
        <v>48.62000221469881</v>
      </c>
      <c r="AH15" s="53">
        <f>SQRT(AD15/AE15)</f>
        <v>254</v>
      </c>
      <c r="AI15" s="54">
        <f>(AH15*AE15)</f>
        <v>254</v>
      </c>
      <c r="AJ15" s="55">
        <f>(($C$21/AH15)+($C$22/AI15))*100+5</f>
        <v>15</v>
      </c>
    </row>
    <row r="16" spans="27:36" ht="13.5" thickBot="1">
      <c r="AA16" s="57" t="s">
        <v>1</v>
      </c>
      <c r="AB16" s="2"/>
      <c r="AC16" s="2"/>
      <c r="AD16" s="114"/>
      <c r="AE16" s="2"/>
      <c r="AH16" s="2"/>
      <c r="AI16" s="2"/>
      <c r="AJ16" s="2"/>
    </row>
    <row r="17" spans="2:36" ht="12.75">
      <c r="B17" t="s">
        <v>143</v>
      </c>
      <c r="AA17" s="27"/>
      <c r="AB17" s="30"/>
      <c r="AC17" s="30"/>
      <c r="AD17" s="115"/>
      <c r="AE17" s="40"/>
      <c r="AF17" s="119"/>
      <c r="AG17" s="42"/>
      <c r="AH17" s="40"/>
      <c r="AI17" s="40"/>
      <c r="AJ17" s="43"/>
    </row>
    <row r="18" spans="27:36" ht="14.25">
      <c r="AA18" s="58"/>
      <c r="AB18" s="31" t="s">
        <v>33</v>
      </c>
      <c r="AC18" s="32" t="s">
        <v>18</v>
      </c>
      <c r="AD18" s="116" t="s">
        <v>34</v>
      </c>
      <c r="AE18" s="44" t="s">
        <v>37</v>
      </c>
      <c r="AF18" s="120" t="s">
        <v>40</v>
      </c>
      <c r="AG18" s="46" t="s">
        <v>44</v>
      </c>
      <c r="AH18" s="47" t="s">
        <v>38</v>
      </c>
      <c r="AI18" s="47" t="s">
        <v>39</v>
      </c>
      <c r="AJ18" s="47" t="s">
        <v>19</v>
      </c>
    </row>
    <row r="19" spans="2:36" ht="12.75">
      <c r="B19" s="142" t="s">
        <v>8</v>
      </c>
      <c r="C19" s="167"/>
      <c r="D19" s="167"/>
      <c r="AA19" s="28" t="s">
        <v>20</v>
      </c>
      <c r="AB19" s="33" t="s">
        <v>21</v>
      </c>
      <c r="AC19" s="34" t="s">
        <v>22</v>
      </c>
      <c r="AD19" s="140" t="s">
        <v>36</v>
      </c>
      <c r="AE19" s="48" t="s">
        <v>23</v>
      </c>
      <c r="AF19" s="121" t="s">
        <v>41</v>
      </c>
      <c r="AG19" s="48" t="s">
        <v>22</v>
      </c>
      <c r="AH19" s="48" t="s">
        <v>24</v>
      </c>
      <c r="AI19" s="48" t="s">
        <v>24</v>
      </c>
      <c r="AJ19" s="48" t="s">
        <v>25</v>
      </c>
    </row>
    <row r="20" spans="2:36" ht="13.5" thickBot="1">
      <c r="B20" s="15"/>
      <c r="C20" s="146" t="s">
        <v>130</v>
      </c>
      <c r="D20" s="147"/>
      <c r="AA20" s="1"/>
      <c r="AB20" s="35" t="s">
        <v>35</v>
      </c>
      <c r="AC20" s="36" t="s">
        <v>26</v>
      </c>
      <c r="AD20" s="141"/>
      <c r="AE20" s="49" t="s">
        <v>27</v>
      </c>
      <c r="AF20" s="122" t="s">
        <v>42</v>
      </c>
      <c r="AG20" s="49" t="s">
        <v>45</v>
      </c>
      <c r="AH20" s="49" t="s">
        <v>28</v>
      </c>
      <c r="AI20" s="49" t="s">
        <v>29</v>
      </c>
      <c r="AJ20" s="49" t="s">
        <v>30</v>
      </c>
    </row>
    <row r="21" spans="2:36" ht="13.5" thickBot="1">
      <c r="B21" s="12" t="s">
        <v>105</v>
      </c>
      <c r="C21" s="170">
        <v>12.7</v>
      </c>
      <c r="D21" s="171"/>
      <c r="AA21" s="59"/>
      <c r="AB21" s="37" t="s">
        <v>31</v>
      </c>
      <c r="AC21" s="38" t="s">
        <v>127</v>
      </c>
      <c r="AD21" s="117" t="s">
        <v>128</v>
      </c>
      <c r="AE21" s="50"/>
      <c r="AF21" s="125" t="s">
        <v>43</v>
      </c>
      <c r="AG21" s="50" t="s">
        <v>46</v>
      </c>
      <c r="AH21" s="50" t="s">
        <v>129</v>
      </c>
      <c r="AI21" s="50" t="s">
        <v>129</v>
      </c>
      <c r="AJ21" s="50" t="s">
        <v>32</v>
      </c>
    </row>
    <row r="22" spans="2:36" ht="13.5" thickTop="1">
      <c r="B22" s="12" t="s">
        <v>106</v>
      </c>
      <c r="C22" s="165">
        <v>12.7</v>
      </c>
      <c r="D22" s="166"/>
      <c r="AA22" s="29">
        <v>1</v>
      </c>
      <c r="AB22" s="39">
        <v>25</v>
      </c>
      <c r="AC22" s="39">
        <f>0.344*POWER(AD22,-0.5478)</f>
        <v>0.00023938039318197805</v>
      </c>
      <c r="AD22" s="118">
        <f>$F$11*$F$12</f>
        <v>580644</v>
      </c>
      <c r="AE22" s="51">
        <f>$F$11/$F$12</f>
        <v>4</v>
      </c>
      <c r="AF22" s="124">
        <f>AB22*AE22</f>
        <v>100</v>
      </c>
      <c r="AG22" s="51">
        <f>AC22*AD22</f>
        <v>138.99478901875648</v>
      </c>
      <c r="AH22" s="53">
        <f>SQRT(AD22/AE22)</f>
        <v>381</v>
      </c>
      <c r="AI22" s="54">
        <f>(AH22*AE22)</f>
        <v>1524</v>
      </c>
      <c r="AJ22" s="55">
        <f>(($C$21/AH22)+($C$22/AI22))*100+5</f>
        <v>9.166666666666666</v>
      </c>
    </row>
    <row r="23" spans="27:36" ht="12.75">
      <c r="AA23" s="29">
        <v>2</v>
      </c>
      <c r="AB23" s="39">
        <v>50</v>
      </c>
      <c r="AC23" s="39">
        <f>0.275*POWER(AD23,-0.5478)</f>
        <v>0.00019136513989838366</v>
      </c>
      <c r="AD23" s="118">
        <f>$F$11*$F$12</f>
        <v>580644</v>
      </c>
      <c r="AE23" s="51">
        <f>$F$11/$F$12</f>
        <v>4</v>
      </c>
      <c r="AF23" s="124">
        <f>AB23*AE23</f>
        <v>200</v>
      </c>
      <c r="AG23" s="51">
        <f>AC23*AD23</f>
        <v>111.11502029115708</v>
      </c>
      <c r="AH23" s="53">
        <f>SQRT(AD23/AE23)</f>
        <v>381</v>
      </c>
      <c r="AI23" s="54">
        <f>(AH23*AE23)</f>
        <v>1524</v>
      </c>
      <c r="AJ23" s="55">
        <f>(($C$21/AH23)+($C$22/AI23))*100+5</f>
        <v>9.166666666666666</v>
      </c>
    </row>
    <row r="24" spans="27:36" ht="14.25" customHeight="1">
      <c r="AA24" s="29">
        <v>3</v>
      </c>
      <c r="AB24" s="39">
        <v>100</v>
      </c>
      <c r="AC24" s="39">
        <f>0.206*POWER(AD24,-0.5478)</f>
        <v>0.00014334988661478918</v>
      </c>
      <c r="AD24" s="118">
        <f>$F$11*$F$12</f>
        <v>580644</v>
      </c>
      <c r="AE24" s="51">
        <f>$F$11/$F$12</f>
        <v>4</v>
      </c>
      <c r="AF24" s="124">
        <f>AB24*AE24</f>
        <v>400</v>
      </c>
      <c r="AG24" s="51">
        <f>AC24*AD24</f>
        <v>83.23525156355765</v>
      </c>
      <c r="AH24" s="53">
        <f>SQRT(AD24/AE24)</f>
        <v>381</v>
      </c>
      <c r="AI24" s="54">
        <f>(AH24*AE24)</f>
        <v>1524</v>
      </c>
      <c r="AJ24" s="55">
        <f>(($C$21/AH24)+($C$22/AI24))*100+5</f>
        <v>9.166666666666666</v>
      </c>
    </row>
    <row r="25" spans="18:36" ht="12.75">
      <c r="R25" s="25"/>
      <c r="S25" s="25"/>
      <c r="AA25" s="29">
        <v>4</v>
      </c>
      <c r="AB25" s="39">
        <v>250</v>
      </c>
      <c r="AC25" s="39">
        <f>0.206*POWER(AD25,-0.5478)</f>
        <v>0.00014334988661478918</v>
      </c>
      <c r="AD25" s="118">
        <f>$F$11*$F$12</f>
        <v>580644</v>
      </c>
      <c r="AE25" s="51">
        <f>$F$11/$F$12</f>
        <v>4</v>
      </c>
      <c r="AF25" s="124">
        <f>AB25*AE25</f>
        <v>1000</v>
      </c>
      <c r="AG25" s="51">
        <f>AC25*AD25</f>
        <v>83.23525156355765</v>
      </c>
      <c r="AH25" s="53">
        <f>SQRT(AD25/AE25)</f>
        <v>381</v>
      </c>
      <c r="AI25" s="54">
        <f>(AH25*AE25)</f>
        <v>1524</v>
      </c>
      <c r="AJ25" s="55">
        <f>(($C$21/AH25)+($C$22/AI25))*100+5</f>
        <v>9.166666666666666</v>
      </c>
    </row>
    <row r="26" spans="1:36" ht="13.5" thickBot="1">
      <c r="A26" s="144" t="s">
        <v>115</v>
      </c>
      <c r="B26" s="144"/>
      <c r="C26" s="144"/>
      <c r="D26" s="144"/>
      <c r="E26" s="144"/>
      <c r="F26" s="144"/>
      <c r="G26" s="144"/>
      <c r="H26" s="144"/>
      <c r="I26" s="144"/>
      <c r="J26" s="144"/>
      <c r="K26" s="144"/>
      <c r="L26" s="144"/>
      <c r="M26" s="144"/>
      <c r="N26" s="144"/>
      <c r="O26" s="144"/>
      <c r="P26" s="144"/>
      <c r="Q26" s="144"/>
      <c r="R26" s="144"/>
      <c r="S26" s="144"/>
      <c r="T26" s="144"/>
      <c r="AA26" s="29">
        <v>5</v>
      </c>
      <c r="AB26" s="39">
        <v>1000</v>
      </c>
      <c r="AC26" s="39">
        <f>0.325*POWER(AD26,-0.5478)</f>
        <v>0.00022615880169808976</v>
      </c>
      <c r="AD26" s="118">
        <f>$F$11*$F$12</f>
        <v>580644</v>
      </c>
      <c r="AE26" s="51">
        <f>$F$11/$F$12</f>
        <v>4</v>
      </c>
      <c r="AF26" s="124">
        <f>AB26*AE26</f>
        <v>4000</v>
      </c>
      <c r="AG26" s="51">
        <f>AC26*AD26</f>
        <v>131.31775125318563</v>
      </c>
      <c r="AH26" s="53">
        <f>SQRT(AD26/AE26)</f>
        <v>381</v>
      </c>
      <c r="AI26" s="54">
        <f>(AH26*AE26)</f>
        <v>1524</v>
      </c>
      <c r="AJ26" s="55">
        <f>(($C$21/AH26)+($C$22/AI26))*100+5</f>
        <v>9.166666666666666</v>
      </c>
    </row>
    <row r="27" spans="27:36" ht="13.5" thickBot="1">
      <c r="AA27" s="56" t="s">
        <v>2</v>
      </c>
      <c r="AB27" s="2"/>
      <c r="AC27" s="2"/>
      <c r="AD27" s="114"/>
      <c r="AE27" s="2"/>
      <c r="AH27" s="2"/>
      <c r="AI27" s="2"/>
      <c r="AJ27" s="2"/>
    </row>
    <row r="28" spans="2:36" ht="12.75">
      <c r="B28" t="s">
        <v>113</v>
      </c>
      <c r="AA28" s="27"/>
      <c r="AB28" s="30"/>
      <c r="AC28" s="30"/>
      <c r="AD28" s="115"/>
      <c r="AE28" s="40"/>
      <c r="AF28" s="119"/>
      <c r="AG28" s="42"/>
      <c r="AH28" s="40"/>
      <c r="AI28" s="40"/>
      <c r="AJ28" s="43"/>
    </row>
    <row r="29" spans="2:36" ht="14.25">
      <c r="B29" s="73" t="s">
        <v>62</v>
      </c>
      <c r="C29" s="73"/>
      <c r="AA29" s="58"/>
      <c r="AB29" s="31" t="s">
        <v>17</v>
      </c>
      <c r="AC29" s="32" t="s">
        <v>18</v>
      </c>
      <c r="AD29" s="116" t="s">
        <v>34</v>
      </c>
      <c r="AE29" s="44" t="s">
        <v>37</v>
      </c>
      <c r="AF29" s="120" t="s">
        <v>40</v>
      </c>
      <c r="AG29" s="46" t="s">
        <v>44</v>
      </c>
      <c r="AH29" s="47" t="s">
        <v>38</v>
      </c>
      <c r="AI29" s="47" t="s">
        <v>39</v>
      </c>
      <c r="AJ29" s="47" t="s">
        <v>19</v>
      </c>
    </row>
    <row r="30" spans="27:36" ht="12.75">
      <c r="AA30" s="28" t="s">
        <v>20</v>
      </c>
      <c r="AB30" s="33" t="s">
        <v>21</v>
      </c>
      <c r="AC30" s="34" t="s">
        <v>22</v>
      </c>
      <c r="AD30" s="140" t="s">
        <v>36</v>
      </c>
      <c r="AE30" s="48" t="s">
        <v>23</v>
      </c>
      <c r="AF30" s="121" t="s">
        <v>41</v>
      </c>
      <c r="AG30" s="48" t="s">
        <v>22</v>
      </c>
      <c r="AH30" s="48" t="s">
        <v>24</v>
      </c>
      <c r="AI30" s="48" t="s">
        <v>24</v>
      </c>
      <c r="AJ30" s="48" t="s">
        <v>25</v>
      </c>
    </row>
    <row r="31" spans="2:36" ht="12.75">
      <c r="B31" s="142" t="s">
        <v>15</v>
      </c>
      <c r="C31" s="142"/>
      <c r="D31" s="142"/>
      <c r="E31" s="142"/>
      <c r="F31" s="142"/>
      <c r="G31" s="142"/>
      <c r="H31" s="142"/>
      <c r="I31" s="142"/>
      <c r="J31" s="142"/>
      <c r="K31" s="142"/>
      <c r="L31" s="142"/>
      <c r="M31" s="142"/>
      <c r="N31" s="142"/>
      <c r="O31" s="142"/>
      <c r="P31" s="142"/>
      <c r="Q31" s="142"/>
      <c r="R31" s="142"/>
      <c r="S31" s="142"/>
      <c r="AA31" s="1"/>
      <c r="AB31" s="35" t="s">
        <v>35</v>
      </c>
      <c r="AC31" s="36" t="s">
        <v>26</v>
      </c>
      <c r="AD31" s="141"/>
      <c r="AE31" s="49" t="s">
        <v>27</v>
      </c>
      <c r="AF31" s="122" t="s">
        <v>42</v>
      </c>
      <c r="AG31" s="49" t="s">
        <v>45</v>
      </c>
      <c r="AH31" s="49" t="s">
        <v>28</v>
      </c>
      <c r="AI31" s="49" t="s">
        <v>29</v>
      </c>
      <c r="AJ31" s="49" t="s">
        <v>30</v>
      </c>
    </row>
    <row r="32" spans="2:36" ht="15" thickBot="1">
      <c r="B32" s="168" t="s">
        <v>7</v>
      </c>
      <c r="C32" s="135" t="s">
        <v>9</v>
      </c>
      <c r="D32" s="185"/>
      <c r="E32" s="136"/>
      <c r="F32" s="156" t="s">
        <v>10</v>
      </c>
      <c r="G32" s="186"/>
      <c r="H32" s="157"/>
      <c r="I32" s="158" t="s">
        <v>11</v>
      </c>
      <c r="J32" s="187"/>
      <c r="K32" s="159"/>
      <c r="L32" s="156" t="s">
        <v>12</v>
      </c>
      <c r="M32" s="186"/>
      <c r="N32" s="157"/>
      <c r="O32" s="158" t="s">
        <v>13</v>
      </c>
      <c r="P32" s="187"/>
      <c r="Q32" s="159"/>
      <c r="R32" s="156" t="s">
        <v>14</v>
      </c>
      <c r="S32" s="186"/>
      <c r="T32" s="157"/>
      <c r="AA32" s="59"/>
      <c r="AB32" s="37" t="s">
        <v>31</v>
      </c>
      <c r="AC32" s="38" t="s">
        <v>127</v>
      </c>
      <c r="AD32" s="117" t="s">
        <v>128</v>
      </c>
      <c r="AE32" s="50"/>
      <c r="AF32" s="125" t="s">
        <v>43</v>
      </c>
      <c r="AG32" s="50" t="s">
        <v>46</v>
      </c>
      <c r="AH32" s="50" t="s">
        <v>129</v>
      </c>
      <c r="AI32" s="50" t="s">
        <v>129</v>
      </c>
      <c r="AJ32" s="50" t="s">
        <v>32</v>
      </c>
    </row>
    <row r="33" spans="2:36" ht="15" thickTop="1">
      <c r="B33" s="169"/>
      <c r="C33" s="10" t="s">
        <v>50</v>
      </c>
      <c r="D33" s="10" t="s">
        <v>48</v>
      </c>
      <c r="E33" s="98" t="s">
        <v>111</v>
      </c>
      <c r="F33" s="11" t="s">
        <v>51</v>
      </c>
      <c r="G33" s="11" t="s">
        <v>52</v>
      </c>
      <c r="H33" s="100" t="s">
        <v>116</v>
      </c>
      <c r="I33" s="10" t="s">
        <v>53</v>
      </c>
      <c r="J33" s="10" t="s">
        <v>54</v>
      </c>
      <c r="K33" s="98" t="s">
        <v>117</v>
      </c>
      <c r="L33" s="11" t="s">
        <v>55</v>
      </c>
      <c r="M33" s="11" t="s">
        <v>56</v>
      </c>
      <c r="N33" s="100" t="s">
        <v>118</v>
      </c>
      <c r="O33" s="10" t="s">
        <v>57</v>
      </c>
      <c r="P33" s="10" t="s">
        <v>58</v>
      </c>
      <c r="Q33" s="98" t="s">
        <v>119</v>
      </c>
      <c r="R33" s="11" t="s">
        <v>59</v>
      </c>
      <c r="S33" s="11" t="s">
        <v>60</v>
      </c>
      <c r="T33" s="100" t="s">
        <v>120</v>
      </c>
      <c r="AA33" s="29">
        <v>1</v>
      </c>
      <c r="AB33" s="39">
        <v>25</v>
      </c>
      <c r="AC33" s="39">
        <f>0.344*POWER(AD33,-0.5478)</f>
        <v>0.00019170162057577129</v>
      </c>
      <c r="AD33" s="118">
        <f>$I$11*$I$12</f>
        <v>870966</v>
      </c>
      <c r="AE33" s="51">
        <f>$I$11/$I$12</f>
        <v>6</v>
      </c>
      <c r="AF33" s="124">
        <f>AB33*AE33</f>
        <v>150</v>
      </c>
      <c r="AG33" s="51">
        <f>AC33*AD33</f>
        <v>166.9655936663972</v>
      </c>
      <c r="AH33" s="53">
        <f>SQRT(AD33/AE33)</f>
        <v>381</v>
      </c>
      <c r="AI33" s="54">
        <f>(AH33*AE33)</f>
        <v>2286</v>
      </c>
      <c r="AJ33" s="55">
        <f>(($C$21/AH33)+($C$22/AI33))*100+5</f>
        <v>8.88888888888889</v>
      </c>
    </row>
    <row r="34" spans="2:36" ht="13.5" thickBot="1">
      <c r="B34" s="13" t="s">
        <v>101</v>
      </c>
      <c r="C34" s="71" t="s">
        <v>47</v>
      </c>
      <c r="D34" s="69" t="s">
        <v>49</v>
      </c>
      <c r="E34" s="102" t="s">
        <v>112</v>
      </c>
      <c r="F34" s="72" t="s">
        <v>47</v>
      </c>
      <c r="G34" s="70" t="s">
        <v>49</v>
      </c>
      <c r="H34" s="101" t="s">
        <v>112</v>
      </c>
      <c r="I34" s="71" t="s">
        <v>47</v>
      </c>
      <c r="J34" s="69" t="s">
        <v>49</v>
      </c>
      <c r="K34" s="102" t="s">
        <v>112</v>
      </c>
      <c r="L34" s="72" t="s">
        <v>47</v>
      </c>
      <c r="M34" s="70" t="s">
        <v>49</v>
      </c>
      <c r="N34" s="101" t="s">
        <v>112</v>
      </c>
      <c r="O34" s="71" t="s">
        <v>47</v>
      </c>
      <c r="P34" s="69" t="s">
        <v>49</v>
      </c>
      <c r="Q34" s="102" t="s">
        <v>112</v>
      </c>
      <c r="R34" s="72" t="s">
        <v>47</v>
      </c>
      <c r="S34" s="70" t="s">
        <v>49</v>
      </c>
      <c r="T34" s="101" t="s">
        <v>112</v>
      </c>
      <c r="AA34" s="29">
        <v>2</v>
      </c>
      <c r="AB34" s="39">
        <v>50</v>
      </c>
      <c r="AC34" s="39">
        <f>0.275*POWER(AD34,-0.5478)</f>
        <v>0.00015324984203004974</v>
      </c>
      <c r="AD34" s="118">
        <f>$I$11*$I$12</f>
        <v>870966</v>
      </c>
      <c r="AE34" s="51">
        <f>$I$11/$I$12</f>
        <v>6</v>
      </c>
      <c r="AF34" s="124">
        <f>AB34*AE34</f>
        <v>300</v>
      </c>
      <c r="AG34" s="51">
        <f>AC34*AD34</f>
        <v>133.4754019135443</v>
      </c>
      <c r="AH34" s="53">
        <f>SQRT(AD34/AE34)</f>
        <v>381</v>
      </c>
      <c r="AI34" s="54">
        <f>(AH34*AE34)</f>
        <v>2286</v>
      </c>
      <c r="AJ34" s="55">
        <f>(($C$21/AH34)+($C$22/AI34))*100+5</f>
        <v>8.88888888888889</v>
      </c>
    </row>
    <row r="35" spans="2:36" ht="12.75">
      <c r="B35" s="14">
        <v>25</v>
      </c>
      <c r="C35" s="99">
        <f>MinW25.1</f>
        <v>25</v>
      </c>
      <c r="D35" s="60">
        <f>AG11</f>
        <v>51.4624023441735</v>
      </c>
      <c r="E35" s="60">
        <f>AJ11</f>
        <v>15</v>
      </c>
      <c r="F35" s="62">
        <f>MinW25.2</f>
        <v>100</v>
      </c>
      <c r="G35" s="62">
        <f>AG22</f>
        <v>138.99478901875648</v>
      </c>
      <c r="H35" s="85">
        <f>AJ22</f>
        <v>9.166666666666666</v>
      </c>
      <c r="I35" s="99">
        <f>MinW25.3</f>
        <v>150</v>
      </c>
      <c r="J35" s="60">
        <f>AG33</f>
        <v>166.9655936663972</v>
      </c>
      <c r="K35" s="60">
        <f>AJ33</f>
        <v>8.88888888888889</v>
      </c>
      <c r="L35" s="62">
        <f>MinW25.4</f>
        <v>150</v>
      </c>
      <c r="M35" s="62">
        <f>AG44</f>
        <v>216.5816107907041</v>
      </c>
      <c r="N35" s="85">
        <f>AJ44</f>
        <v>7.916666666666666</v>
      </c>
      <c r="O35" s="99">
        <f>MinW25.5</f>
        <v>300</v>
      </c>
      <c r="P35" s="60">
        <f>AG55</f>
        <v>296.31070611563945</v>
      </c>
      <c r="Q35" s="60">
        <f>AJ55</f>
        <v>7.708333333333333</v>
      </c>
      <c r="R35" s="62">
        <f>MinW25.6</f>
        <v>300</v>
      </c>
      <c r="S35" s="62">
        <f>AG66</f>
        <v>554.6242717860144</v>
      </c>
      <c r="T35" s="85">
        <f>AJ66</f>
        <v>6.354166666666666</v>
      </c>
      <c r="AA35" s="29">
        <v>3</v>
      </c>
      <c r="AB35" s="39">
        <v>100</v>
      </c>
      <c r="AC35" s="39">
        <f>0.206*POWER(AD35,-0.5478)</f>
        <v>0.00011479806348432815</v>
      </c>
      <c r="AD35" s="118">
        <f>$I$11*$I$12</f>
        <v>870966</v>
      </c>
      <c r="AE35" s="51">
        <f>$I$11/$I$12</f>
        <v>6</v>
      </c>
      <c r="AF35" s="124">
        <f>AB35*AE35</f>
        <v>600</v>
      </c>
      <c r="AG35" s="51">
        <f>AC35*AD35</f>
        <v>99.98521016069135</v>
      </c>
      <c r="AH35" s="53">
        <f>SQRT(AD35/AE35)</f>
        <v>381</v>
      </c>
      <c r="AI35" s="54">
        <f>(AH35*AE35)</f>
        <v>2286</v>
      </c>
      <c r="AJ35" s="55">
        <f>(($C$21/AH35)+($C$22/AI35))*100+5</f>
        <v>8.88888888888889</v>
      </c>
    </row>
    <row r="36" spans="2:36" ht="12.75">
      <c r="B36" s="14">
        <v>50</v>
      </c>
      <c r="C36" s="99">
        <f>MinW50.1</f>
        <v>50</v>
      </c>
      <c r="D36" s="60">
        <f>AG12</f>
        <v>41.14000187397592</v>
      </c>
      <c r="E36" s="60">
        <f>AJ12</f>
        <v>15</v>
      </c>
      <c r="F36" s="62">
        <f>MinW50.2</f>
        <v>200</v>
      </c>
      <c r="G36" s="62">
        <f>AG23</f>
        <v>111.11502029115708</v>
      </c>
      <c r="H36" s="85">
        <f>AJ23</f>
        <v>9.166666666666666</v>
      </c>
      <c r="I36" s="99">
        <f>MinW50.3</f>
        <v>300</v>
      </c>
      <c r="J36" s="60">
        <f>AG34</f>
        <v>133.4754019135443</v>
      </c>
      <c r="K36" s="60">
        <f>AJ34</f>
        <v>8.88888888888889</v>
      </c>
      <c r="L36" s="62">
        <f>MinW50.4</f>
        <v>300</v>
      </c>
      <c r="M36" s="62">
        <f>AG45</f>
        <v>173.1393690914059</v>
      </c>
      <c r="N36" s="85">
        <f>AJ45</f>
        <v>7.916666666666666</v>
      </c>
      <c r="O36" s="99">
        <f>MinW50.5</f>
        <v>600</v>
      </c>
      <c r="P36" s="60">
        <f>AG56</f>
        <v>236.87629122616525</v>
      </c>
      <c r="Q36" s="60">
        <f>AJ56</f>
        <v>7.708333333333333</v>
      </c>
      <c r="R36" s="62">
        <f>MinW50.6</f>
        <v>600</v>
      </c>
      <c r="S36" s="62">
        <f>AG67</f>
        <v>443.376961456843</v>
      </c>
      <c r="T36" s="85">
        <f>AJ67</f>
        <v>6.354166666666666</v>
      </c>
      <c r="AA36" s="29">
        <v>4</v>
      </c>
      <c r="AB36" s="39">
        <v>250</v>
      </c>
      <c r="AC36" s="39">
        <f>0.206*POWER(AD36,-0.5478)</f>
        <v>0.00011479806348432815</v>
      </c>
      <c r="AD36" s="118">
        <f>$I$11*$I$12</f>
        <v>870966</v>
      </c>
      <c r="AE36" s="51">
        <f>$I$11/$I$12</f>
        <v>6</v>
      </c>
      <c r="AF36" s="124">
        <f>AB36*AE36</f>
        <v>1500</v>
      </c>
      <c r="AG36" s="51">
        <f>AC36*AD36</f>
        <v>99.98521016069135</v>
      </c>
      <c r="AH36" s="53">
        <f>SQRT(AD36/AE36)</f>
        <v>381</v>
      </c>
      <c r="AI36" s="54">
        <f>(AH36*AE36)</f>
        <v>2286</v>
      </c>
      <c r="AJ36" s="55">
        <f>(($C$21/AH36)+($C$22/AI36))*100+5</f>
        <v>8.88888888888889</v>
      </c>
    </row>
    <row r="37" spans="2:36" ht="13.5" thickBot="1">
      <c r="B37" s="14">
        <v>100</v>
      </c>
      <c r="C37" s="99">
        <f>MinW100.1</f>
        <v>100</v>
      </c>
      <c r="D37" s="132">
        <f>AG13</f>
        <v>30.817601403778323</v>
      </c>
      <c r="E37" s="60">
        <f>AJ13</f>
        <v>15</v>
      </c>
      <c r="F37" s="62">
        <f>MinW100.2</f>
        <v>400</v>
      </c>
      <c r="G37" s="62">
        <f>AG24</f>
        <v>83.23525156355765</v>
      </c>
      <c r="H37" s="85">
        <f>AJ24</f>
        <v>9.166666666666666</v>
      </c>
      <c r="I37" s="99">
        <f>MinW100.3</f>
        <v>600</v>
      </c>
      <c r="J37" s="60">
        <f>AG35</f>
        <v>99.98521016069135</v>
      </c>
      <c r="K37" s="60">
        <f>AJ35</f>
        <v>8.88888888888889</v>
      </c>
      <c r="L37" s="62">
        <f>MinW100.4</f>
        <v>600</v>
      </c>
      <c r="M37" s="62">
        <f>AG46</f>
        <v>129.6971273921077</v>
      </c>
      <c r="N37" s="85">
        <f>AJ46</f>
        <v>7.916666666666666</v>
      </c>
      <c r="O37" s="99">
        <f>MinW100.5</f>
        <v>1200</v>
      </c>
      <c r="P37" s="60">
        <f>AG57</f>
        <v>177.44187633669105</v>
      </c>
      <c r="Q37" s="60">
        <f>AJ57</f>
        <v>7.708333333333333</v>
      </c>
      <c r="R37" s="62">
        <f>MinW100.6</f>
        <v>1200</v>
      </c>
      <c r="S37" s="62">
        <f>AG68</f>
        <v>332.1296511276714</v>
      </c>
      <c r="T37" s="85">
        <f>AJ68</f>
        <v>6.354166666666666</v>
      </c>
      <c r="AA37" s="29">
        <v>5</v>
      </c>
      <c r="AB37" s="39">
        <v>1000</v>
      </c>
      <c r="AC37" s="39">
        <f>0.325*POWER(AD37,-0.5478)</f>
        <v>0.00018111344967187696</v>
      </c>
      <c r="AD37" s="118">
        <f>$I$11*$I$12</f>
        <v>870966</v>
      </c>
      <c r="AE37" s="51">
        <f>$I$11/$I$12</f>
        <v>6</v>
      </c>
      <c r="AF37" s="124">
        <f>AB37*AE37</f>
        <v>6000</v>
      </c>
      <c r="AG37" s="51">
        <f>AC37*AD37</f>
        <v>157.743656806916</v>
      </c>
      <c r="AH37" s="53">
        <f>SQRT(AD37/AE37)</f>
        <v>381</v>
      </c>
      <c r="AI37" s="54">
        <f>(AH37*AE37)</f>
        <v>2286</v>
      </c>
      <c r="AJ37" s="55">
        <f>(($C$21/AH37)+($C$22/AI37))*100+5</f>
        <v>8.88888888888889</v>
      </c>
    </row>
    <row r="38" spans="2:36" ht="13.5" thickBot="1">
      <c r="B38" s="14">
        <v>250</v>
      </c>
      <c r="C38" s="99">
        <f>MinW250.1</f>
        <v>250</v>
      </c>
      <c r="D38" s="132">
        <f>AG14</f>
        <v>30.817601403778323</v>
      </c>
      <c r="E38" s="60">
        <f>AJ14</f>
        <v>15</v>
      </c>
      <c r="F38" s="62">
        <f>MinW250.2</f>
        <v>1000</v>
      </c>
      <c r="G38" s="62">
        <f>AG25</f>
        <v>83.23525156355765</v>
      </c>
      <c r="H38" s="85">
        <f>AJ25</f>
        <v>9.166666666666666</v>
      </c>
      <c r="I38" s="99">
        <f>MinW250.3</f>
        <v>1500</v>
      </c>
      <c r="J38" s="60">
        <f>AG36</f>
        <v>99.98521016069135</v>
      </c>
      <c r="K38" s="60">
        <f>AJ36</f>
        <v>8.88888888888889</v>
      </c>
      <c r="L38" s="62">
        <f>MinW250.4</f>
        <v>1500</v>
      </c>
      <c r="M38" s="62">
        <f>AG47</f>
        <v>129.6971273921077</v>
      </c>
      <c r="N38" s="85">
        <f>AJ47</f>
        <v>7.916666666666666</v>
      </c>
      <c r="O38" s="99">
        <f>MinW250.5</f>
        <v>3000</v>
      </c>
      <c r="P38" s="60">
        <f>AG58</f>
        <v>177.44187633669105</v>
      </c>
      <c r="Q38" s="60">
        <f>AJ58</f>
        <v>7.708333333333333</v>
      </c>
      <c r="R38" s="62">
        <f>MinW250.6</f>
        <v>3000</v>
      </c>
      <c r="S38" s="62">
        <f>AG69</f>
        <v>332.1296511276714</v>
      </c>
      <c r="T38" s="85">
        <f>AJ69</f>
        <v>6.354166666666666</v>
      </c>
      <c r="AA38" s="57" t="s">
        <v>3</v>
      </c>
      <c r="AB38" s="2"/>
      <c r="AC38" s="2"/>
      <c r="AD38" s="114"/>
      <c r="AE38" s="2"/>
      <c r="AH38" s="2"/>
      <c r="AI38" s="2"/>
      <c r="AJ38" s="2"/>
    </row>
    <row r="39" spans="2:36" ht="12.75">
      <c r="B39" s="14">
        <v>1000</v>
      </c>
      <c r="C39" s="99">
        <f>MinW1000.1</f>
        <v>1000</v>
      </c>
      <c r="D39" s="132">
        <f>AG15</f>
        <v>48.62000221469881</v>
      </c>
      <c r="E39" s="60">
        <f>AJ15</f>
        <v>15</v>
      </c>
      <c r="F39" s="62">
        <f>MinW1000.2</f>
        <v>4000</v>
      </c>
      <c r="G39" s="62">
        <f>AG26</f>
        <v>131.31775125318563</v>
      </c>
      <c r="H39" s="85">
        <f>AJ26</f>
        <v>9.166666666666666</v>
      </c>
      <c r="I39" s="99">
        <f>MinW1000.3</f>
        <v>6000</v>
      </c>
      <c r="J39" s="60">
        <f>AG37</f>
        <v>157.743656806916</v>
      </c>
      <c r="K39" s="60">
        <f>AJ37</f>
        <v>8.88888888888889</v>
      </c>
      <c r="L39" s="62">
        <f>MinW1000.4</f>
        <v>6000</v>
      </c>
      <c r="M39" s="62">
        <f>AG48</f>
        <v>204.61925438075244</v>
      </c>
      <c r="N39" s="85">
        <f>AJ48</f>
        <v>7.916666666666666</v>
      </c>
      <c r="O39" s="99">
        <f>MinW1000.5</f>
        <v>12000</v>
      </c>
      <c r="P39" s="60">
        <f>AG59</f>
        <v>279.9447078127408</v>
      </c>
      <c r="Q39" s="60">
        <f>AJ59</f>
        <v>7.708333333333333</v>
      </c>
      <c r="R39" s="62">
        <f>MinW1000.6</f>
        <v>12000</v>
      </c>
      <c r="S39" s="62">
        <f>AG70</f>
        <v>523.9909544489961</v>
      </c>
      <c r="T39" s="85">
        <f>AJ70</f>
        <v>6.354166666666666</v>
      </c>
      <c r="AA39" s="27"/>
      <c r="AB39" s="30"/>
      <c r="AC39" s="30"/>
      <c r="AD39" s="115"/>
      <c r="AE39" s="40"/>
      <c r="AF39" s="119"/>
      <c r="AG39" s="42"/>
      <c r="AH39" s="40"/>
      <c r="AI39" s="40"/>
      <c r="AJ39" s="43"/>
    </row>
    <row r="40" spans="5:36" ht="14.25">
      <c r="E40" s="24"/>
      <c r="AA40" s="58"/>
      <c r="AB40" s="31" t="s">
        <v>17</v>
      </c>
      <c r="AC40" s="32" t="s">
        <v>18</v>
      </c>
      <c r="AD40" s="116" t="s">
        <v>34</v>
      </c>
      <c r="AE40" s="44" t="s">
        <v>37</v>
      </c>
      <c r="AF40" s="120" t="s">
        <v>40</v>
      </c>
      <c r="AG40" s="46" t="s">
        <v>44</v>
      </c>
      <c r="AH40" s="47" t="s">
        <v>38</v>
      </c>
      <c r="AI40" s="47" t="s">
        <v>39</v>
      </c>
      <c r="AJ40" s="47" t="s">
        <v>19</v>
      </c>
    </row>
    <row r="41" spans="1:36" ht="12.75">
      <c r="A41" s="144" t="s">
        <v>133</v>
      </c>
      <c r="B41" s="144"/>
      <c r="C41" s="144"/>
      <c r="D41" s="144"/>
      <c r="E41" s="144"/>
      <c r="F41" s="144"/>
      <c r="G41" s="144"/>
      <c r="H41" s="144"/>
      <c r="I41" s="144"/>
      <c r="J41" s="144"/>
      <c r="K41" s="144"/>
      <c r="L41" s="144"/>
      <c r="M41" s="144"/>
      <c r="N41" s="144"/>
      <c r="O41" s="144"/>
      <c r="P41" s="144"/>
      <c r="Q41" s="144"/>
      <c r="R41" s="144"/>
      <c r="S41" s="144"/>
      <c r="T41" s="144"/>
      <c r="AA41" s="28" t="s">
        <v>20</v>
      </c>
      <c r="AB41" s="33" t="s">
        <v>21</v>
      </c>
      <c r="AC41" s="34" t="s">
        <v>22</v>
      </c>
      <c r="AD41" s="140" t="s">
        <v>36</v>
      </c>
      <c r="AE41" s="48" t="s">
        <v>23</v>
      </c>
      <c r="AF41" s="121" t="s">
        <v>41</v>
      </c>
      <c r="AG41" s="48" t="s">
        <v>22</v>
      </c>
      <c r="AH41" s="48" t="s">
        <v>24</v>
      </c>
      <c r="AI41" s="48" t="s">
        <v>24</v>
      </c>
      <c r="AJ41" s="48" t="s">
        <v>25</v>
      </c>
    </row>
    <row r="42" spans="27:36" ht="12.75">
      <c r="AA42" s="1"/>
      <c r="AB42" s="35" t="s">
        <v>35</v>
      </c>
      <c r="AC42" s="36" t="s">
        <v>26</v>
      </c>
      <c r="AD42" s="141"/>
      <c r="AE42" s="49" t="s">
        <v>27</v>
      </c>
      <c r="AF42" s="122" t="s">
        <v>42</v>
      </c>
      <c r="AG42" s="49" t="s">
        <v>45</v>
      </c>
      <c r="AH42" s="49" t="s">
        <v>28</v>
      </c>
      <c r="AI42" s="49" t="s">
        <v>29</v>
      </c>
      <c r="AJ42" s="49" t="s">
        <v>30</v>
      </c>
    </row>
    <row r="43" spans="27:36" ht="13.5" thickBot="1">
      <c r="AA43" s="59"/>
      <c r="AB43" s="37" t="s">
        <v>31</v>
      </c>
      <c r="AC43" s="38" t="s">
        <v>127</v>
      </c>
      <c r="AD43" s="117" t="s">
        <v>128</v>
      </c>
      <c r="AE43" s="50"/>
      <c r="AF43" s="125" t="s">
        <v>43</v>
      </c>
      <c r="AG43" s="50" t="s">
        <v>46</v>
      </c>
      <c r="AH43" s="50" t="s">
        <v>129</v>
      </c>
      <c r="AI43" s="50" t="s">
        <v>129</v>
      </c>
      <c r="AJ43" s="50" t="s">
        <v>32</v>
      </c>
    </row>
    <row r="44" spans="2:36" ht="13.5" thickTop="1">
      <c r="B44" t="s">
        <v>104</v>
      </c>
      <c r="AA44" s="29">
        <v>1</v>
      </c>
      <c r="AB44" s="39">
        <v>25</v>
      </c>
      <c r="AC44" s="39">
        <f>0.344*POWER(AD44,-0.5478)</f>
        <v>0.00013987590338746984</v>
      </c>
      <c r="AD44" s="118">
        <f>$L$11*$L$12</f>
        <v>1548384</v>
      </c>
      <c r="AE44" s="51">
        <f>$L$11/$L$12</f>
        <v>6</v>
      </c>
      <c r="AF44" s="124">
        <f>AB44*AE44</f>
        <v>150</v>
      </c>
      <c r="AG44" s="51">
        <f>AC44*AD44</f>
        <v>216.5816107907041</v>
      </c>
      <c r="AH44" s="53">
        <f>SQRT(AD44/AE44)</f>
        <v>508</v>
      </c>
      <c r="AI44" s="54">
        <f>(AH44*AE44)</f>
        <v>3048</v>
      </c>
      <c r="AJ44" s="55">
        <f>(($C$21/AH44)+($C$22/AI44))*100+5</f>
        <v>7.916666666666666</v>
      </c>
    </row>
    <row r="45" spans="2:36" ht="12.75">
      <c r="B45" t="s">
        <v>61</v>
      </c>
      <c r="AA45" s="29">
        <v>2</v>
      </c>
      <c r="AB45" s="39">
        <v>50</v>
      </c>
      <c r="AC45" s="39">
        <f>0.275*POWER(AD45,-0.5478)</f>
        <v>0.00011181939951033201</v>
      </c>
      <c r="AD45" s="118">
        <f>$L$11*$L$12</f>
        <v>1548384</v>
      </c>
      <c r="AE45" s="51">
        <f>$L$11/$L$12</f>
        <v>6</v>
      </c>
      <c r="AF45" s="124">
        <f>AB45*AE45</f>
        <v>300</v>
      </c>
      <c r="AG45" s="51">
        <f>AC45*AD45</f>
        <v>173.1393690914059</v>
      </c>
      <c r="AH45" s="53">
        <f>SQRT(AD45/AE45)</f>
        <v>508</v>
      </c>
      <c r="AI45" s="54">
        <f>(AH45*AE45)</f>
        <v>3048</v>
      </c>
      <c r="AJ45" s="55">
        <f>(($C$21/AH45)+($C$22/AI45))*100+5</f>
        <v>7.916666666666666</v>
      </c>
    </row>
    <row r="46" spans="27:36" ht="12.75">
      <c r="AA46" s="29">
        <v>3</v>
      </c>
      <c r="AB46" s="39">
        <v>100</v>
      </c>
      <c r="AC46" s="39">
        <f>0.206*POWER(AD46,-0.5478)</f>
        <v>8.376289563319414E-05</v>
      </c>
      <c r="AD46" s="118">
        <f>$L$11*$L$12</f>
        <v>1548384</v>
      </c>
      <c r="AE46" s="51">
        <f>$L$11/$L$12</f>
        <v>6</v>
      </c>
      <c r="AF46" s="124">
        <f>AB46*AE46</f>
        <v>600</v>
      </c>
      <c r="AG46" s="51">
        <f>AC46*AD46</f>
        <v>129.6971273921077</v>
      </c>
      <c r="AH46" s="53">
        <f>SQRT(AD46/AE46)</f>
        <v>508</v>
      </c>
      <c r="AI46" s="54">
        <f>(AH46*AE46)</f>
        <v>3048</v>
      </c>
      <c r="AJ46" s="55">
        <f>(($C$21/AH46)+($C$22/AI46))*100+5</f>
        <v>7.916666666666666</v>
      </c>
    </row>
    <row r="47" spans="2:36" ht="12.75">
      <c r="B47" s="142" t="s">
        <v>107</v>
      </c>
      <c r="C47" s="142"/>
      <c r="D47" s="142"/>
      <c r="E47" s="142"/>
      <c r="F47" s="142"/>
      <c r="G47" s="142"/>
      <c r="H47" s="142"/>
      <c r="I47" s="142"/>
      <c r="J47" s="142"/>
      <c r="K47" s="142"/>
      <c r="L47" s="142"/>
      <c r="M47" s="142"/>
      <c r="N47" s="142"/>
      <c r="O47" s="142"/>
      <c r="P47" s="142"/>
      <c r="Q47" s="142"/>
      <c r="R47" s="142"/>
      <c r="S47" s="142"/>
      <c r="AA47" s="29">
        <v>4</v>
      </c>
      <c r="AB47" s="39">
        <v>250</v>
      </c>
      <c r="AC47" s="39">
        <f>0.206*POWER(AD47,-0.5478)</f>
        <v>8.376289563319414E-05</v>
      </c>
      <c r="AD47" s="118">
        <f>$L$11*$L$12</f>
        <v>1548384</v>
      </c>
      <c r="AE47" s="51">
        <f>$L$11/$L$12</f>
        <v>6</v>
      </c>
      <c r="AF47" s="124">
        <f>AB47*AE47</f>
        <v>1500</v>
      </c>
      <c r="AG47" s="51">
        <f>AC47*AD47</f>
        <v>129.6971273921077</v>
      </c>
      <c r="AH47" s="53">
        <f>SQRT(AD47/AE47)</f>
        <v>508</v>
      </c>
      <c r="AI47" s="54">
        <f>(AH47*AE47)</f>
        <v>3048</v>
      </c>
      <c r="AJ47" s="55">
        <f>(($C$21/AH47)+($C$22/AI47))*100+5</f>
        <v>7.916666666666666</v>
      </c>
    </row>
    <row r="48" spans="2:36" ht="13.5" thickBot="1">
      <c r="B48" s="179" t="s">
        <v>7</v>
      </c>
      <c r="C48" s="17"/>
      <c r="D48" s="18"/>
      <c r="E48" s="18"/>
      <c r="F48" s="18"/>
      <c r="G48" s="18"/>
      <c r="H48" s="18"/>
      <c r="I48" s="18"/>
      <c r="J48" s="18"/>
      <c r="K48" s="18"/>
      <c r="L48" s="18"/>
      <c r="M48" s="18"/>
      <c r="N48" s="18"/>
      <c r="O48" s="18"/>
      <c r="P48" s="18"/>
      <c r="Q48" s="18"/>
      <c r="R48" s="18"/>
      <c r="S48" s="19"/>
      <c r="AA48" s="29">
        <v>5</v>
      </c>
      <c r="AB48" s="39">
        <v>1000</v>
      </c>
      <c r="AC48" s="39">
        <f>0.325*POWER(AD48,-0.5478)</f>
        <v>0.00013215019942130145</v>
      </c>
      <c r="AD48" s="118">
        <f>$L$11*$L$12</f>
        <v>1548384</v>
      </c>
      <c r="AE48" s="51">
        <f>$L$11/$L$12</f>
        <v>6</v>
      </c>
      <c r="AF48" s="124">
        <f>AB48*AE48</f>
        <v>6000</v>
      </c>
      <c r="AG48" s="51">
        <f>AC48*AD48</f>
        <v>204.61925438075244</v>
      </c>
      <c r="AH48" s="53">
        <f>SQRT(AD48/AE48)</f>
        <v>508</v>
      </c>
      <c r="AI48" s="54">
        <f>(AH48*AE48)</f>
        <v>3048</v>
      </c>
      <c r="AJ48" s="55">
        <f>(($C$21/AH48)+($C$22/AI48))*100+5</f>
        <v>7.916666666666666</v>
      </c>
    </row>
    <row r="49" spans="2:36" ht="13.5" thickBot="1">
      <c r="B49" s="180"/>
      <c r="C49" s="20"/>
      <c r="D49" s="21"/>
      <c r="E49" s="16"/>
      <c r="F49" s="21"/>
      <c r="G49" s="21"/>
      <c r="H49" s="16"/>
      <c r="I49" s="21"/>
      <c r="J49" s="21"/>
      <c r="K49" s="16"/>
      <c r="L49" s="21"/>
      <c r="M49" s="21"/>
      <c r="N49" s="16"/>
      <c r="O49" s="21"/>
      <c r="P49" s="21"/>
      <c r="Q49" s="16"/>
      <c r="R49" s="21"/>
      <c r="S49" s="22"/>
      <c r="AA49" s="56" t="s">
        <v>4</v>
      </c>
      <c r="AB49" s="2"/>
      <c r="AC49" s="2"/>
      <c r="AD49" s="114"/>
      <c r="AE49" s="2"/>
      <c r="AH49" s="2"/>
      <c r="AI49" s="2"/>
      <c r="AJ49" s="2"/>
    </row>
    <row r="50" spans="2:36" ht="15" thickBot="1">
      <c r="B50" s="13" t="s">
        <v>101</v>
      </c>
      <c r="C50" s="146" t="s">
        <v>9</v>
      </c>
      <c r="D50" s="147"/>
      <c r="E50" s="23"/>
      <c r="F50" s="148" t="s">
        <v>10</v>
      </c>
      <c r="G50" s="149"/>
      <c r="H50" s="23"/>
      <c r="I50" s="146" t="s">
        <v>11</v>
      </c>
      <c r="J50" s="147"/>
      <c r="K50" s="23"/>
      <c r="L50" s="148" t="s">
        <v>12</v>
      </c>
      <c r="M50" s="149"/>
      <c r="N50" s="23"/>
      <c r="O50" s="146" t="s">
        <v>13</v>
      </c>
      <c r="P50" s="147"/>
      <c r="Q50" s="23"/>
      <c r="R50" s="148" t="s">
        <v>14</v>
      </c>
      <c r="S50" s="149"/>
      <c r="AA50" s="27"/>
      <c r="AB50" s="30"/>
      <c r="AC50" s="30"/>
      <c r="AD50" s="115"/>
      <c r="AE50" s="40"/>
      <c r="AF50" s="119"/>
      <c r="AG50" s="42"/>
      <c r="AH50" s="40"/>
      <c r="AI50" s="40"/>
      <c r="AJ50" s="43"/>
    </row>
    <row r="51" spans="2:36" ht="14.25">
      <c r="B51" s="14">
        <v>25</v>
      </c>
      <c r="C51" s="177" t="str">
        <f>IF(Squ25.1&lt;1,"Partial Square",IF(Squ25.1&lt;=10,"Bar",IF(Squ25.1&gt;10,"Serpentine")))</f>
        <v>Bar</v>
      </c>
      <c r="D51" s="178"/>
      <c r="E51" s="65"/>
      <c r="F51" s="177" t="str">
        <f>IF(Squ25.2&lt;1,"Partial Square",IF(Squ25.2&lt;=10,"Bar",IF(Squ25.2&gt;10,"Serpentine")))</f>
        <v>Bar</v>
      </c>
      <c r="G51" s="178"/>
      <c r="H51" s="66"/>
      <c r="I51" s="175" t="str">
        <f>IF(Squ25.3&lt;1,"Partial Square",IF(Squ25.3&lt;=10,"Bar",IF(Squ25.3&gt;10,"Serpentine")))</f>
        <v>Bar</v>
      </c>
      <c r="J51" s="176"/>
      <c r="K51" s="66"/>
      <c r="L51" s="177" t="str">
        <f>IF(Squ25.4&lt;1,"Partial Square",IF(Squ25.4&lt;=10,"Bar",IF(Squ25.4&gt;10,"Serpentine")))</f>
        <v>Bar</v>
      </c>
      <c r="M51" s="178"/>
      <c r="N51" s="66"/>
      <c r="O51" s="175" t="str">
        <f>IF(Squ25.5&lt;1,"Partial Square",IF(Squ25.5&lt;=10,"Bar",IF(Squ25.5&gt;10,"Serpentine")))</f>
        <v>Serpentine</v>
      </c>
      <c r="P51" s="176"/>
      <c r="Q51" s="66"/>
      <c r="R51" s="177" t="str">
        <f>IF(Squ25.6&lt;1,"Partial Square",IF(Squ25.6&lt;=10,"Bar",IF(Squ25.6&gt;10,"Serpentine")))</f>
        <v>Serpentine</v>
      </c>
      <c r="S51" s="178"/>
      <c r="AA51" s="58"/>
      <c r="AB51" s="31" t="s">
        <v>17</v>
      </c>
      <c r="AC51" s="32" t="s">
        <v>18</v>
      </c>
      <c r="AD51" s="116" t="s">
        <v>34</v>
      </c>
      <c r="AE51" s="44" t="s">
        <v>37</v>
      </c>
      <c r="AF51" s="120" t="s">
        <v>40</v>
      </c>
      <c r="AG51" s="46" t="s">
        <v>44</v>
      </c>
      <c r="AH51" s="47" t="s">
        <v>38</v>
      </c>
      <c r="AI51" s="47" t="s">
        <v>39</v>
      </c>
      <c r="AJ51" s="47" t="s">
        <v>19</v>
      </c>
    </row>
    <row r="52" spans="2:36" ht="12.75">
      <c r="B52" s="14">
        <v>50</v>
      </c>
      <c r="C52" s="181" t="str">
        <f>IF(Squ50.1&lt;1,"Partial Square",IF(Squ50.1&lt;=10,"Bar",IF(Squ50.1&gt;10,"Serpentine")))</f>
        <v>Bar</v>
      </c>
      <c r="D52" s="182"/>
      <c r="E52" s="65"/>
      <c r="F52" s="181" t="str">
        <f>IF(Squ50.2&lt;1,"Partial Square",IF(Squ50.2&lt;=10,"Bar",IF(Squ50.2&gt;10,"Serpentine")))</f>
        <v>Bar</v>
      </c>
      <c r="G52" s="182"/>
      <c r="H52" s="66"/>
      <c r="I52" s="183" t="str">
        <f>IF(Squ50.3&lt;1,"Partial Square",IF(Squ50.3&lt;=10,"Bar",IF(Squ50.3&gt;10,"Serpentine")))</f>
        <v>Bar</v>
      </c>
      <c r="J52" s="184"/>
      <c r="K52" s="66"/>
      <c r="L52" s="181" t="str">
        <f>IF(Squ50.4&lt;1,"Partial Square",IF(Squ50.4&lt;=10,"Bar",IF(Squ50.4&gt;10,"Serpentine")))</f>
        <v>Bar</v>
      </c>
      <c r="M52" s="182"/>
      <c r="N52" s="66"/>
      <c r="O52" s="183" t="str">
        <f>IF(Squ50.5&lt;1,"Partial Square",IF(Squ50.5&lt;=10,"Bar",IF(Squ50.5&gt;10,"Serpentine")))</f>
        <v>Serpentine</v>
      </c>
      <c r="P52" s="184"/>
      <c r="Q52" s="66"/>
      <c r="R52" s="181" t="str">
        <f>IF(Squ50.6&lt;1,"Partial Square",IF(Squ50.6&lt;=10,"Bar",IF(Squ50.6&gt;10,"Serpentine")))</f>
        <v>Serpentine</v>
      </c>
      <c r="S52" s="182"/>
      <c r="AA52" s="28" t="s">
        <v>20</v>
      </c>
      <c r="AB52" s="33" t="s">
        <v>21</v>
      </c>
      <c r="AC52" s="34" t="s">
        <v>22</v>
      </c>
      <c r="AD52" s="140" t="s">
        <v>36</v>
      </c>
      <c r="AE52" s="48" t="s">
        <v>23</v>
      </c>
      <c r="AF52" s="121" t="s">
        <v>41</v>
      </c>
      <c r="AG52" s="48" t="s">
        <v>22</v>
      </c>
      <c r="AH52" s="48" t="s">
        <v>24</v>
      </c>
      <c r="AI52" s="48" t="s">
        <v>24</v>
      </c>
      <c r="AJ52" s="48" t="s">
        <v>25</v>
      </c>
    </row>
    <row r="53" spans="2:36" ht="12.75">
      <c r="B53" s="14">
        <v>100</v>
      </c>
      <c r="C53" s="181" t="str">
        <f>IF(Squ100.1&lt;1,"Partial Square",IF(Squ100.1&lt;=10,"Bar",IF(Squ100.1&gt;10,"Serpentine")))</f>
        <v>Bar</v>
      </c>
      <c r="D53" s="182"/>
      <c r="E53" s="67"/>
      <c r="F53" s="181" t="str">
        <f>IF(Squ100.2&lt;1,"Partial Square",IF(Squ100.2&lt;=10,"Bar",IF(Squ100.2&gt;10,"Serpentine")))</f>
        <v>Bar</v>
      </c>
      <c r="G53" s="182"/>
      <c r="H53" s="68"/>
      <c r="I53" s="183" t="str">
        <f>IF(Squ100.3&lt;1,"Partial Square",IF(Squ100.3&lt;=10,"Bar",IF(Squ100.3&gt;10,"Serpentine")))</f>
        <v>Bar</v>
      </c>
      <c r="J53" s="184"/>
      <c r="K53" s="68"/>
      <c r="L53" s="181" t="str">
        <f>IF(Squ100.4&lt;1,"Partial Square",IF(Squ100.4&lt;=10,"Bar",IF(Squ100.4&gt;10,"Serpentine")))</f>
        <v>Bar</v>
      </c>
      <c r="M53" s="182"/>
      <c r="N53" s="68"/>
      <c r="O53" s="183" t="str">
        <f>IF(Squ100.5&lt;1,"Partial Square",IF(Squ100.5&lt;=10,"Bar",IF(Squ100.5&gt;10,"Serpentine")))</f>
        <v>Serpentine</v>
      </c>
      <c r="P53" s="184"/>
      <c r="Q53" s="68"/>
      <c r="R53" s="181" t="str">
        <f>IF(Squ100.6&lt;1,"Partial Square",IF(Squ100.6&lt;=10,"Bar",IF(Squ100.6&gt;10,"Serpentine")))</f>
        <v>Serpentine</v>
      </c>
      <c r="S53" s="182"/>
      <c r="AA53" s="1"/>
      <c r="AB53" s="35" t="s">
        <v>35</v>
      </c>
      <c r="AC53" s="36" t="s">
        <v>26</v>
      </c>
      <c r="AD53" s="141"/>
      <c r="AE53" s="49" t="s">
        <v>27</v>
      </c>
      <c r="AF53" s="122" t="s">
        <v>42</v>
      </c>
      <c r="AG53" s="49" t="s">
        <v>45</v>
      </c>
      <c r="AH53" s="49" t="s">
        <v>28</v>
      </c>
      <c r="AI53" s="49" t="s">
        <v>29</v>
      </c>
      <c r="AJ53" s="49" t="s">
        <v>30</v>
      </c>
    </row>
    <row r="54" spans="2:36" ht="15" customHeight="1" thickBot="1">
      <c r="B54" s="14">
        <v>250</v>
      </c>
      <c r="C54" s="181" t="str">
        <f>IF(Squ250.1&lt;1,"Partial Square",IF(Squ250.1&lt;=10,"Bar",IF(Squ250.1&gt;10,"Serpentine")))</f>
        <v>Bar</v>
      </c>
      <c r="D54" s="182"/>
      <c r="E54" s="67"/>
      <c r="F54" s="181" t="str">
        <f>IF(Squ250.2&lt;1,"Partial Square",IF(Squ250.2&lt;=10,"Bar",IF(Squ250.2&gt;10,"Serpentine")))</f>
        <v>Bar</v>
      </c>
      <c r="G54" s="182"/>
      <c r="H54" s="68"/>
      <c r="I54" s="183" t="str">
        <f>IF(Squ250.3&lt;1,"Partial Square",IF(Squ250.3&lt;=10,"Bar",IF(Squ250.3&gt;10,"Serpentine")))</f>
        <v>Bar</v>
      </c>
      <c r="J54" s="184"/>
      <c r="K54" s="68"/>
      <c r="L54" s="181" t="str">
        <f>IF(Squ250.4&lt;1,"Partial Square",IF(Squ250.4&lt;=10,"Bar",IF(Squ250.4&gt;10,"Serpentine")))</f>
        <v>Bar</v>
      </c>
      <c r="M54" s="182"/>
      <c r="N54" s="68"/>
      <c r="O54" s="183" t="str">
        <f>IF(Squ250.5&lt;1,"Partial Square",IF(Squ250.5&lt;=10,"Bar",IF(Squ250.5&gt;10,"Serpentine")))</f>
        <v>Serpentine</v>
      </c>
      <c r="P54" s="184"/>
      <c r="Q54" s="68"/>
      <c r="R54" s="181" t="str">
        <f>IF(Squ250.6&lt;1,"Partial Square",IF(Squ250.6&lt;=10,"Bar",IF(Squ250.6&gt;10,"Serpentine")))</f>
        <v>Serpentine</v>
      </c>
      <c r="S54" s="182"/>
      <c r="AA54" s="59"/>
      <c r="AB54" s="37" t="s">
        <v>31</v>
      </c>
      <c r="AC54" s="38" t="s">
        <v>127</v>
      </c>
      <c r="AD54" s="117" t="s">
        <v>128</v>
      </c>
      <c r="AE54" s="50"/>
      <c r="AF54" s="125" t="s">
        <v>43</v>
      </c>
      <c r="AG54" s="50" t="s">
        <v>46</v>
      </c>
      <c r="AH54" s="50" t="s">
        <v>129</v>
      </c>
      <c r="AI54" s="50" t="s">
        <v>129</v>
      </c>
      <c r="AJ54" s="50" t="s">
        <v>32</v>
      </c>
    </row>
    <row r="55" spans="2:36" ht="13.5" thickTop="1">
      <c r="B55" s="14">
        <v>1000</v>
      </c>
      <c r="C55" s="181" t="str">
        <f>IF(Squ1000.1&lt;1,"Partial Square",IF(Squ1000.1&lt;=10,"Bar",IF(Squ1000.1&gt;10,"Serpentine")))</f>
        <v>Bar</v>
      </c>
      <c r="D55" s="182"/>
      <c r="E55" s="67"/>
      <c r="F55" s="181" t="str">
        <f>IF(Squ1000.2&lt;1,"Partial Square",IF(Squ1000.2&lt;=10,"Bar",IF(Squ1000.2&gt;10,"Serpentine")))</f>
        <v>Bar</v>
      </c>
      <c r="G55" s="182"/>
      <c r="H55" s="68"/>
      <c r="I55" s="183" t="str">
        <f>IF(Squ1000.3&lt;1,"Partial Square",IF(Squ1000.3&lt;=10,"Bar",IF(Squ1000.3&gt;10,"Serpentine")))</f>
        <v>Bar</v>
      </c>
      <c r="J55" s="184"/>
      <c r="K55" s="68"/>
      <c r="L55" s="181" t="str">
        <f>IF(Squ1000.4&lt;1,"Partial Square",IF(Squ1000.4&lt;=10,"Bar",IF(Squ1000.4&gt;10,"Serpentine")))</f>
        <v>Bar</v>
      </c>
      <c r="M55" s="182"/>
      <c r="N55" s="68"/>
      <c r="O55" s="183" t="str">
        <f>IF(Squ1000.5&lt;1,"Partial Square",IF(Squ1000.5&lt;=10,"Bar",IF(Squ1000.5&gt;10,"Serpentine")))</f>
        <v>Serpentine</v>
      </c>
      <c r="P55" s="184"/>
      <c r="Q55" s="68"/>
      <c r="R55" s="181" t="str">
        <f>IF(Squ1000.6&lt;1,"Partial Square",IF(Squ1000.6&lt;=10,"Bar",IF(Squ1000.6&gt;10,"Serpentine")))</f>
        <v>Serpentine</v>
      </c>
      <c r="S55" s="182"/>
      <c r="AA55" s="29">
        <v>1</v>
      </c>
      <c r="AB55" s="39">
        <v>25</v>
      </c>
      <c r="AC55" s="39">
        <f>0.344*POWER(AD55,-0.5478)</f>
        <v>9.568385688422234E-05</v>
      </c>
      <c r="AD55" s="118">
        <f>$O$11*$O$12</f>
        <v>3096768</v>
      </c>
      <c r="AE55" s="51">
        <f>$O$11/$O$12</f>
        <v>12</v>
      </c>
      <c r="AF55" s="124">
        <f>AB55*AE55</f>
        <v>300</v>
      </c>
      <c r="AG55" s="51">
        <f>AC55*AD55</f>
        <v>296.31070611563945</v>
      </c>
      <c r="AH55" s="53">
        <f>SQRT(AD55/AE55)</f>
        <v>508</v>
      </c>
      <c r="AI55" s="54">
        <f>(AH55*AE55)</f>
        <v>6096</v>
      </c>
      <c r="AJ55" s="55">
        <f>(($C$21/AH55)+($C$22/AI55))*100+5</f>
        <v>7.708333333333333</v>
      </c>
    </row>
    <row r="56" spans="27:36" ht="12.75">
      <c r="AA56" s="29">
        <v>2</v>
      </c>
      <c r="AB56" s="39">
        <v>50</v>
      </c>
      <c r="AC56" s="39">
        <f>0.275*POWER(AD56,-0.5478)</f>
        <v>7.649145535802658E-05</v>
      </c>
      <c r="AD56" s="118">
        <f>$O$11*$O$12</f>
        <v>3096768</v>
      </c>
      <c r="AE56" s="51">
        <f>$O$11/$O$12</f>
        <v>12</v>
      </c>
      <c r="AF56" s="124">
        <f>AB56*AE56</f>
        <v>600</v>
      </c>
      <c r="AG56" s="51">
        <f>AC56*AD56</f>
        <v>236.87629122616525</v>
      </c>
      <c r="AH56" s="53">
        <f>SQRT(AD56/AE56)</f>
        <v>508</v>
      </c>
      <c r="AI56" s="54">
        <f>(AH56*AE56)</f>
        <v>6096</v>
      </c>
      <c r="AJ56" s="55">
        <f>(($C$21/AH56)+($C$22/AI56))*100+5</f>
        <v>7.708333333333333</v>
      </c>
    </row>
    <row r="57" spans="27:36" ht="12.75">
      <c r="AA57" s="29">
        <v>3</v>
      </c>
      <c r="AB57" s="39">
        <v>100</v>
      </c>
      <c r="AC57" s="39">
        <f>0.206*POWER(AD57,-0.5478)</f>
        <v>5.729905383183081E-05</v>
      </c>
      <c r="AD57" s="118">
        <f>$O$11*$O$12</f>
        <v>3096768</v>
      </c>
      <c r="AE57" s="51">
        <f>$O$11/$O$12</f>
        <v>12</v>
      </c>
      <c r="AF57" s="124">
        <f>AB57*AE57</f>
        <v>1200</v>
      </c>
      <c r="AG57" s="51">
        <f>AC57*AD57</f>
        <v>177.44187633669105</v>
      </c>
      <c r="AH57" s="53">
        <f>SQRT(AD57/AE57)</f>
        <v>508</v>
      </c>
      <c r="AI57" s="54">
        <f>(AH57*AE57)</f>
        <v>6096</v>
      </c>
      <c r="AJ57" s="55">
        <f>(($C$21/AH57)+($C$22/AI57))*100+5</f>
        <v>7.708333333333333</v>
      </c>
    </row>
    <row r="58" spans="27:36" ht="12.75">
      <c r="AA58" s="29">
        <v>4</v>
      </c>
      <c r="AB58" s="39">
        <v>250</v>
      </c>
      <c r="AC58" s="39">
        <f>0.206*POWER(AD58,-0.5478)</f>
        <v>5.729905383183081E-05</v>
      </c>
      <c r="AD58" s="118">
        <f>$O$11*$O$12</f>
        <v>3096768</v>
      </c>
      <c r="AE58" s="51">
        <f>$O$11/$O$12</f>
        <v>12</v>
      </c>
      <c r="AF58" s="124">
        <f>AB58*AE58</f>
        <v>3000</v>
      </c>
      <c r="AG58" s="51">
        <f>AC58*AD58</f>
        <v>177.44187633669105</v>
      </c>
      <c r="AH58" s="53">
        <f>SQRT(AD58/AE58)</f>
        <v>508</v>
      </c>
      <c r="AI58" s="54">
        <f>(AH58*AE58)</f>
        <v>6096</v>
      </c>
      <c r="AJ58" s="55">
        <f>(($C$21/AH58)+($C$22/AI58))*100+5</f>
        <v>7.708333333333333</v>
      </c>
    </row>
    <row r="59" spans="27:36" ht="13.5" thickBot="1">
      <c r="AA59" s="29">
        <v>5</v>
      </c>
      <c r="AB59" s="39">
        <v>1000</v>
      </c>
      <c r="AC59" s="39">
        <f>0.325*POWER(AD59,-0.5478)</f>
        <v>9.039899269584959E-05</v>
      </c>
      <c r="AD59" s="118">
        <f>$O$11*$O$12</f>
        <v>3096768</v>
      </c>
      <c r="AE59" s="51">
        <f>$O$11/$O$12</f>
        <v>12</v>
      </c>
      <c r="AF59" s="124">
        <f>AB59*AE59</f>
        <v>12000</v>
      </c>
      <c r="AG59" s="51">
        <f>AC59*AD59</f>
        <v>279.9447078127408</v>
      </c>
      <c r="AH59" s="53">
        <f>SQRT(AD59/AE59)</f>
        <v>508</v>
      </c>
      <c r="AI59" s="54">
        <f>(AH59*AE59)</f>
        <v>6096</v>
      </c>
      <c r="AJ59" s="55">
        <f>(($C$21/AH59)+($C$22/AI59))*100+5</f>
        <v>7.708333333333333</v>
      </c>
    </row>
    <row r="60" spans="27:36" ht="13.5" thickBot="1">
      <c r="AA60" s="57" t="s">
        <v>5</v>
      </c>
      <c r="AB60" s="2"/>
      <c r="AC60" s="2"/>
      <c r="AD60" s="114"/>
      <c r="AE60" s="2"/>
      <c r="AH60" s="2"/>
      <c r="AI60" s="2"/>
      <c r="AJ60" s="2"/>
    </row>
    <row r="61" spans="27:36" ht="12.75">
      <c r="AA61" s="27"/>
      <c r="AB61" s="30"/>
      <c r="AC61" s="30"/>
      <c r="AD61" s="115"/>
      <c r="AE61" s="40"/>
      <c r="AF61" s="119"/>
      <c r="AG61" s="42"/>
      <c r="AH61" s="40"/>
      <c r="AI61" s="40"/>
      <c r="AJ61" s="43"/>
    </row>
    <row r="62" spans="27:36" ht="14.25">
      <c r="AA62" s="58"/>
      <c r="AB62" s="31" t="s">
        <v>17</v>
      </c>
      <c r="AC62" s="32" t="s">
        <v>18</v>
      </c>
      <c r="AD62" s="116" t="s">
        <v>34</v>
      </c>
      <c r="AE62" s="44" t="s">
        <v>37</v>
      </c>
      <c r="AF62" s="120" t="s">
        <v>40</v>
      </c>
      <c r="AG62" s="46" t="s">
        <v>44</v>
      </c>
      <c r="AH62" s="47" t="s">
        <v>38</v>
      </c>
      <c r="AI62" s="47" t="s">
        <v>39</v>
      </c>
      <c r="AJ62" s="47" t="s">
        <v>19</v>
      </c>
    </row>
    <row r="63" spans="27:36" ht="12.75">
      <c r="AA63" s="28" t="s">
        <v>20</v>
      </c>
      <c r="AB63" s="33" t="s">
        <v>21</v>
      </c>
      <c r="AC63" s="34" t="s">
        <v>22</v>
      </c>
      <c r="AD63" s="140" t="s">
        <v>36</v>
      </c>
      <c r="AE63" s="48" t="s">
        <v>23</v>
      </c>
      <c r="AF63" s="121" t="s">
        <v>41</v>
      </c>
      <c r="AG63" s="48" t="s">
        <v>22</v>
      </c>
      <c r="AH63" s="48" t="s">
        <v>24</v>
      </c>
      <c r="AI63" s="48" t="s">
        <v>24</v>
      </c>
      <c r="AJ63" s="48" t="s">
        <v>25</v>
      </c>
    </row>
    <row r="64" spans="27:36" ht="12.75">
      <c r="AA64" s="1"/>
      <c r="AB64" s="35" t="s">
        <v>35</v>
      </c>
      <c r="AC64" s="36" t="s">
        <v>26</v>
      </c>
      <c r="AD64" s="141"/>
      <c r="AE64" s="49" t="s">
        <v>27</v>
      </c>
      <c r="AF64" s="122" t="s">
        <v>42</v>
      </c>
      <c r="AG64" s="49" t="s">
        <v>45</v>
      </c>
      <c r="AH64" s="49" t="s">
        <v>28</v>
      </c>
      <c r="AI64" s="49" t="s">
        <v>29</v>
      </c>
      <c r="AJ64" s="49" t="s">
        <v>30</v>
      </c>
    </row>
    <row r="65" spans="27:36" ht="13.5" thickBot="1">
      <c r="AA65" s="59"/>
      <c r="AB65" s="37" t="s">
        <v>31</v>
      </c>
      <c r="AC65" s="38" t="s">
        <v>127</v>
      </c>
      <c r="AD65" s="117" t="s">
        <v>128</v>
      </c>
      <c r="AE65" s="50"/>
      <c r="AF65" s="125" t="s">
        <v>43</v>
      </c>
      <c r="AG65" s="50" t="s">
        <v>46</v>
      </c>
      <c r="AH65" s="50" t="s">
        <v>129</v>
      </c>
      <c r="AI65" s="50" t="s">
        <v>129</v>
      </c>
      <c r="AJ65" s="50" t="s">
        <v>32</v>
      </c>
    </row>
    <row r="66" spans="27:36" ht="13.5" thickTop="1">
      <c r="AA66" s="29">
        <v>1</v>
      </c>
      <c r="AB66" s="39">
        <v>25</v>
      </c>
      <c r="AC66" s="39">
        <f>0.344*POWER(AD66,-0.5478)</f>
        <v>4.4774444823281435E-05</v>
      </c>
      <c r="AD66" s="118">
        <f>$R$11*$R$12</f>
        <v>12387072</v>
      </c>
      <c r="AE66" s="51">
        <f>$R$11/$R$12</f>
        <v>12</v>
      </c>
      <c r="AF66" s="124">
        <f>AB66*AE66</f>
        <v>300</v>
      </c>
      <c r="AG66" s="51">
        <f>AC66*AD66</f>
        <v>554.6242717860144</v>
      </c>
      <c r="AH66" s="53">
        <f>SQRT(AD66/AE66)</f>
        <v>1016</v>
      </c>
      <c r="AI66" s="54">
        <f>(AH66*AE66)</f>
        <v>12192</v>
      </c>
      <c r="AJ66" s="55">
        <f>(($C$21/AH66)+($C$22/AI66))*100+5</f>
        <v>6.354166666666666</v>
      </c>
    </row>
    <row r="67" spans="27:36" ht="12.75">
      <c r="AA67" s="29">
        <v>2</v>
      </c>
      <c r="AB67" s="39">
        <v>50</v>
      </c>
      <c r="AC67" s="39">
        <f>0.275*POWER(AD67,-0.5478)</f>
        <v>3.579352420465813E-05</v>
      </c>
      <c r="AD67" s="118">
        <f>$R$11*$R$12</f>
        <v>12387072</v>
      </c>
      <c r="AE67" s="51">
        <f>$R$11/$R$12</f>
        <v>12</v>
      </c>
      <c r="AF67" s="124">
        <f>AB67*AE67</f>
        <v>600</v>
      </c>
      <c r="AG67" s="51">
        <f>AC67*AD67</f>
        <v>443.376961456843</v>
      </c>
      <c r="AH67" s="53">
        <f>SQRT(AD67/AE67)</f>
        <v>1016</v>
      </c>
      <c r="AI67" s="54">
        <f>(AH67*AE67)</f>
        <v>12192</v>
      </c>
      <c r="AJ67" s="55">
        <f>(($C$21/AH67)+($C$22/AI67))*100+5</f>
        <v>6.354166666666666</v>
      </c>
    </row>
    <row r="68" spans="27:36" ht="12.75">
      <c r="AA68" s="29">
        <v>3</v>
      </c>
      <c r="AB68" s="39">
        <v>100</v>
      </c>
      <c r="AC68" s="39">
        <f>0.206*POWER(AD68,-0.5478)</f>
        <v>2.681260358603481E-05</v>
      </c>
      <c r="AD68" s="118">
        <f>$R$11*$R$12</f>
        <v>12387072</v>
      </c>
      <c r="AE68" s="51">
        <f>$R$11/$R$12</f>
        <v>12</v>
      </c>
      <c r="AF68" s="124">
        <f>AB68*AE68</f>
        <v>1200</v>
      </c>
      <c r="AG68" s="51">
        <f>AC68*AD68</f>
        <v>332.1296511276714</v>
      </c>
      <c r="AH68" s="53">
        <f>SQRT(AD68/AE68)</f>
        <v>1016</v>
      </c>
      <c r="AI68" s="54">
        <f>(AH68*AE68)</f>
        <v>12192</v>
      </c>
      <c r="AJ68" s="55">
        <f>(($C$21/AH68)+($C$22/AI68))*100+5</f>
        <v>6.354166666666666</v>
      </c>
    </row>
    <row r="69" spans="27:36" ht="12.75">
      <c r="AA69" s="29">
        <v>4</v>
      </c>
      <c r="AB69" s="39">
        <v>250</v>
      </c>
      <c r="AC69" s="39">
        <f>0.206*POWER(AD69,-0.5478)</f>
        <v>2.681260358603481E-05</v>
      </c>
      <c r="AD69" s="118">
        <f>$R$11*$R$12</f>
        <v>12387072</v>
      </c>
      <c r="AE69" s="51">
        <f>$R$11/$R$12</f>
        <v>12</v>
      </c>
      <c r="AF69" s="124">
        <f>AB69*AE69</f>
        <v>3000</v>
      </c>
      <c r="AG69" s="51">
        <f>AC69*AD69</f>
        <v>332.1296511276714</v>
      </c>
      <c r="AH69" s="53">
        <f>SQRT(AD69/AE69)</f>
        <v>1016</v>
      </c>
      <c r="AI69" s="54">
        <f>(AH69*AE69)</f>
        <v>12192</v>
      </c>
      <c r="AJ69" s="55">
        <f>(($C$21/AH69)+($C$22/AI69))*100+5</f>
        <v>6.354166666666666</v>
      </c>
    </row>
    <row r="70" spans="27:36" ht="12.75">
      <c r="AA70" s="29">
        <v>5</v>
      </c>
      <c r="AB70" s="39">
        <v>1000</v>
      </c>
      <c r="AC70" s="39">
        <f>0.325*POWER(AD70,-0.5478)</f>
        <v>4.230143769641415E-05</v>
      </c>
      <c r="AD70" s="118">
        <f>$R$11*$R$12</f>
        <v>12387072</v>
      </c>
      <c r="AE70" s="51">
        <f>$R$11/$R$12</f>
        <v>12</v>
      </c>
      <c r="AF70" s="124">
        <f>AB70*AE70</f>
        <v>12000</v>
      </c>
      <c r="AG70" s="51">
        <f>AC70*AD70</f>
        <v>523.9909544489961</v>
      </c>
      <c r="AH70" s="53">
        <f>SQRT(AD70/AE70)</f>
        <v>1016</v>
      </c>
      <c r="AI70" s="54">
        <f>(AH70*AE70)</f>
        <v>12192</v>
      </c>
      <c r="AJ70" s="55">
        <f>(($C$21/AH70)+($C$22/AI70))*100+5</f>
        <v>6.354166666666666</v>
      </c>
    </row>
  </sheetData>
  <sheetProtection password="CADF" sheet="1" objects="1" scenarios="1" selectLockedCells="1"/>
  <mergeCells count="84">
    <mergeCell ref="A3:S3"/>
    <mergeCell ref="A4:S4"/>
    <mergeCell ref="C32:E32"/>
    <mergeCell ref="F32:H32"/>
    <mergeCell ref="I32:K32"/>
    <mergeCell ref="L32:N32"/>
    <mergeCell ref="O32:Q32"/>
    <mergeCell ref="R32:T32"/>
    <mergeCell ref="F12:G12"/>
    <mergeCell ref="C21:D21"/>
    <mergeCell ref="A15:S15"/>
    <mergeCell ref="O55:P55"/>
    <mergeCell ref="R55:S55"/>
    <mergeCell ref="C55:D55"/>
    <mergeCell ref="F55:G55"/>
    <mergeCell ref="I55:J55"/>
    <mergeCell ref="L55:M55"/>
    <mergeCell ref="O53:P53"/>
    <mergeCell ref="O54:P54"/>
    <mergeCell ref="R53:S53"/>
    <mergeCell ref="AD52:AD53"/>
    <mergeCell ref="AD63:AD64"/>
    <mergeCell ref="AD8:AD9"/>
    <mergeCell ref="AD19:AD20"/>
    <mergeCell ref="AD30:AD31"/>
    <mergeCell ref="AD41:AD42"/>
    <mergeCell ref="C53:D53"/>
    <mergeCell ref="C54:D54"/>
    <mergeCell ref="F53:G53"/>
    <mergeCell ref="F54:G54"/>
    <mergeCell ref="R54:S54"/>
    <mergeCell ref="I53:J53"/>
    <mergeCell ref="I54:J54"/>
    <mergeCell ref="L53:M53"/>
    <mergeCell ref="L54:M54"/>
    <mergeCell ref="R51:S51"/>
    <mergeCell ref="C52:D52"/>
    <mergeCell ref="F52:G52"/>
    <mergeCell ref="I52:J52"/>
    <mergeCell ref="L52:M52"/>
    <mergeCell ref="O52:P52"/>
    <mergeCell ref="R52:S52"/>
    <mergeCell ref="C51:D51"/>
    <mergeCell ref="F51:G51"/>
    <mergeCell ref="B32:B33"/>
    <mergeCell ref="B31:S31"/>
    <mergeCell ref="B48:B49"/>
    <mergeCell ref="C50:D50"/>
    <mergeCell ref="B47:S47"/>
    <mergeCell ref="F50:G50"/>
    <mergeCell ref="I50:J50"/>
    <mergeCell ref="O50:P50"/>
    <mergeCell ref="L50:M50"/>
    <mergeCell ref="A41:T41"/>
    <mergeCell ref="I11:J11"/>
    <mergeCell ref="F11:G11"/>
    <mergeCell ref="O10:P10"/>
    <mergeCell ref="I51:J51"/>
    <mergeCell ref="L51:M51"/>
    <mergeCell ref="O51:P51"/>
    <mergeCell ref="A26:T26"/>
    <mergeCell ref="B19:D19"/>
    <mergeCell ref="C22:D22"/>
    <mergeCell ref="C20:D20"/>
    <mergeCell ref="R50:S50"/>
    <mergeCell ref="B7:C7"/>
    <mergeCell ref="L11:M11"/>
    <mergeCell ref="I12:J12"/>
    <mergeCell ref="B9:S9"/>
    <mergeCell ref="C10:D10"/>
    <mergeCell ref="C11:D11"/>
    <mergeCell ref="C12:D12"/>
    <mergeCell ref="L10:M10"/>
    <mergeCell ref="F10:G10"/>
    <mergeCell ref="A1:T1"/>
    <mergeCell ref="H14:P14"/>
    <mergeCell ref="R10:S10"/>
    <mergeCell ref="R11:S11"/>
    <mergeCell ref="L12:M12"/>
    <mergeCell ref="A2:T2"/>
    <mergeCell ref="O11:P11"/>
    <mergeCell ref="O12:P12"/>
    <mergeCell ref="R12:S12"/>
    <mergeCell ref="I10:J10"/>
  </mergeCells>
  <printOptions/>
  <pageMargins left="0.25" right="0.25" top="0.5" bottom="0.5" header="0.5" footer="0.5"/>
  <pageSetup fitToWidth="2" fitToHeight="1" horizontalDpi="300" verticalDpi="300" orientation="landscape" paperSize="9" scale="72" r:id="rId2"/>
  <drawing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AJ70"/>
  <sheetViews>
    <sheetView showGridLines="0" zoomScalePageLayoutView="0" workbookViewId="0" topLeftCell="A1">
      <selection activeCell="C11" sqref="C11:D11"/>
    </sheetView>
  </sheetViews>
  <sheetFormatPr defaultColWidth="9.140625" defaultRowHeight="12.75"/>
  <cols>
    <col min="1" max="1" width="2.140625" style="0" customWidth="1"/>
    <col min="2" max="2" width="23.8515625" style="0" customWidth="1"/>
    <col min="3" max="4" width="9.7109375" style="0" customWidth="1"/>
    <col min="5" max="5" width="4.7109375" style="0" customWidth="1"/>
    <col min="6" max="7" width="9.7109375" style="0" customWidth="1"/>
    <col min="8" max="8" width="4.7109375" style="0" customWidth="1"/>
    <col min="9" max="10" width="9.7109375" style="0" customWidth="1"/>
    <col min="11" max="11" width="4.7109375" style="0" customWidth="1"/>
    <col min="12" max="13" width="9.7109375" style="0" customWidth="1"/>
    <col min="14" max="14" width="4.7109375" style="0" customWidth="1"/>
    <col min="15" max="16" width="9.7109375" style="0" customWidth="1"/>
    <col min="17" max="17" width="4.7109375" style="0" customWidth="1"/>
    <col min="18" max="18" width="10.8515625" style="0" customWidth="1"/>
    <col min="19" max="19" width="9.7109375" style="0" customWidth="1"/>
    <col min="20" max="20" width="4.7109375" style="0" customWidth="1"/>
    <col min="21" max="25" width="1.57421875" style="0" customWidth="1"/>
    <col min="26" max="26" width="56.8515625" style="0" customWidth="1"/>
    <col min="27" max="27" width="10.28125" style="0" customWidth="1"/>
    <col min="28" max="28" width="10.8515625" style="0" bestFit="1" customWidth="1"/>
    <col min="30" max="30" width="12.28125" style="0" bestFit="1" customWidth="1"/>
    <col min="32" max="32" width="9.57421875" style="113" bestFit="1" customWidth="1"/>
    <col min="33" max="33" width="10.140625" style="0" bestFit="1" customWidth="1"/>
  </cols>
  <sheetData>
    <row r="1" spans="1:30" ht="16.5" thickBot="1">
      <c r="A1" s="139" t="s">
        <v>100</v>
      </c>
      <c r="B1" s="139"/>
      <c r="C1" s="139"/>
      <c r="D1" s="139"/>
      <c r="E1" s="139"/>
      <c r="F1" s="139"/>
      <c r="G1" s="139"/>
      <c r="H1" s="139"/>
      <c r="I1" s="139"/>
      <c r="J1" s="139"/>
      <c r="K1" s="139"/>
      <c r="L1" s="139"/>
      <c r="M1" s="139"/>
      <c r="N1" s="139"/>
      <c r="O1" s="139"/>
      <c r="P1" s="139"/>
      <c r="Q1" s="139"/>
      <c r="R1" s="139"/>
      <c r="S1" s="139"/>
      <c r="T1" s="139"/>
      <c r="AA1" s="193"/>
      <c r="AB1" s="193"/>
      <c r="AC1" s="146" t="s">
        <v>130</v>
      </c>
      <c r="AD1" s="147"/>
    </row>
    <row r="2" spans="1:30" ht="15.75">
      <c r="A2" s="145" t="s">
        <v>124</v>
      </c>
      <c r="B2" s="145"/>
      <c r="C2" s="145"/>
      <c r="D2" s="145"/>
      <c r="E2" s="145"/>
      <c r="F2" s="145"/>
      <c r="G2" s="145"/>
      <c r="H2" s="145"/>
      <c r="I2" s="145"/>
      <c r="J2" s="145"/>
      <c r="K2" s="145"/>
      <c r="L2" s="145"/>
      <c r="M2" s="145"/>
      <c r="N2" s="145"/>
      <c r="O2" s="145"/>
      <c r="P2" s="145"/>
      <c r="Q2" s="145"/>
      <c r="R2" s="145"/>
      <c r="S2" s="145"/>
      <c r="T2" s="145"/>
      <c r="U2" s="108"/>
      <c r="AA2" s="192" t="s">
        <v>105</v>
      </c>
      <c r="AB2" s="192"/>
      <c r="AC2" s="194">
        <v>12.7</v>
      </c>
      <c r="AD2" s="195"/>
    </row>
    <row r="3" spans="1:30" ht="15.75">
      <c r="A3" s="145" t="s">
        <v>144</v>
      </c>
      <c r="B3" s="145"/>
      <c r="C3" s="145"/>
      <c r="D3" s="145"/>
      <c r="E3" s="145"/>
      <c r="F3" s="145"/>
      <c r="G3" s="145"/>
      <c r="H3" s="145"/>
      <c r="I3" s="145"/>
      <c r="J3" s="145"/>
      <c r="K3" s="145"/>
      <c r="L3" s="145"/>
      <c r="M3" s="145"/>
      <c r="N3" s="145"/>
      <c r="O3" s="145"/>
      <c r="P3" s="145"/>
      <c r="Q3" s="145"/>
      <c r="R3" s="145"/>
      <c r="S3" s="145"/>
      <c r="T3" s="77"/>
      <c r="U3" s="77"/>
      <c r="AA3" s="192" t="s">
        <v>106</v>
      </c>
      <c r="AB3" s="192"/>
      <c r="AC3" s="196">
        <v>12.7</v>
      </c>
      <c r="AD3" s="197"/>
    </row>
    <row r="4" spans="1:19" ht="13.5" thickBot="1">
      <c r="A4" s="144" t="s">
        <v>110</v>
      </c>
      <c r="B4" s="144"/>
      <c r="C4" s="144"/>
      <c r="D4" s="144"/>
      <c r="E4" s="144"/>
      <c r="F4" s="144"/>
      <c r="G4" s="144"/>
      <c r="H4" s="144"/>
      <c r="I4" s="144"/>
      <c r="J4" s="144"/>
      <c r="K4" s="144"/>
      <c r="L4" s="144"/>
      <c r="M4" s="144"/>
      <c r="N4" s="144"/>
      <c r="O4" s="144"/>
      <c r="P4" s="144"/>
      <c r="Q4" s="144"/>
      <c r="R4" s="144"/>
      <c r="S4" s="144"/>
    </row>
    <row r="5" spans="27:36" ht="13.5" thickBot="1">
      <c r="AA5" s="56" t="s">
        <v>0</v>
      </c>
      <c r="AB5" s="2"/>
      <c r="AC5" s="2"/>
      <c r="AD5" s="2"/>
      <c r="AE5" s="2"/>
      <c r="AH5" s="2"/>
      <c r="AI5" s="2"/>
      <c r="AJ5" s="2"/>
    </row>
    <row r="6" spans="2:36" ht="12.75">
      <c r="B6" t="s">
        <v>63</v>
      </c>
      <c r="AA6" s="27"/>
      <c r="AB6" s="30"/>
      <c r="AC6" s="30"/>
      <c r="AD6" s="74"/>
      <c r="AE6" s="40"/>
      <c r="AF6" s="119"/>
      <c r="AG6" s="42"/>
      <c r="AH6" s="40"/>
      <c r="AI6" s="40"/>
      <c r="AJ6" s="43"/>
    </row>
    <row r="7" spans="2:36" ht="14.25">
      <c r="B7" s="174" t="s">
        <v>135</v>
      </c>
      <c r="C7" s="174"/>
      <c r="AA7" s="58"/>
      <c r="AB7" s="31" t="s">
        <v>33</v>
      </c>
      <c r="AC7" s="32" t="s">
        <v>18</v>
      </c>
      <c r="AD7" s="44" t="s">
        <v>34</v>
      </c>
      <c r="AE7" s="44" t="s">
        <v>37</v>
      </c>
      <c r="AF7" s="120" t="s">
        <v>65</v>
      </c>
      <c r="AG7" s="46" t="s">
        <v>44</v>
      </c>
      <c r="AH7" s="47" t="s">
        <v>38</v>
      </c>
      <c r="AI7" s="47" t="s">
        <v>39</v>
      </c>
      <c r="AJ7" s="47" t="s">
        <v>19</v>
      </c>
    </row>
    <row r="8" spans="27:36" ht="12.75">
      <c r="AA8" s="28" t="s">
        <v>20</v>
      </c>
      <c r="AB8" s="33" t="s">
        <v>21</v>
      </c>
      <c r="AC8" s="34" t="s">
        <v>22</v>
      </c>
      <c r="AD8" s="188" t="s">
        <v>36</v>
      </c>
      <c r="AE8" s="48" t="s">
        <v>23</v>
      </c>
      <c r="AF8" s="121" t="s">
        <v>29</v>
      </c>
      <c r="AG8" s="48" t="s">
        <v>22</v>
      </c>
      <c r="AH8" s="48" t="s">
        <v>24</v>
      </c>
      <c r="AI8" s="48" t="s">
        <v>24</v>
      </c>
      <c r="AJ8" s="48" t="s">
        <v>25</v>
      </c>
    </row>
    <row r="9" spans="2:36" ht="12.75">
      <c r="B9" s="142" t="s">
        <v>6</v>
      </c>
      <c r="C9" s="143"/>
      <c r="D9" s="143"/>
      <c r="E9" s="142"/>
      <c r="F9" s="142"/>
      <c r="G9" s="142"/>
      <c r="H9" s="142"/>
      <c r="I9" s="142"/>
      <c r="J9" s="142"/>
      <c r="K9" s="142"/>
      <c r="L9" s="142"/>
      <c r="M9" s="142"/>
      <c r="N9" s="142"/>
      <c r="O9" s="142"/>
      <c r="P9" s="142"/>
      <c r="Q9" s="142"/>
      <c r="R9" s="142"/>
      <c r="S9" s="142"/>
      <c r="AA9" s="1"/>
      <c r="AB9" s="35" t="s">
        <v>35</v>
      </c>
      <c r="AC9" s="36" t="s">
        <v>26</v>
      </c>
      <c r="AD9" s="189"/>
      <c r="AE9" s="49" t="s">
        <v>27</v>
      </c>
      <c r="AF9" s="122"/>
      <c r="AG9" s="49" t="s">
        <v>45</v>
      </c>
      <c r="AH9" s="49" t="s">
        <v>28</v>
      </c>
      <c r="AI9" s="49" t="s">
        <v>29</v>
      </c>
      <c r="AJ9" s="49" t="s">
        <v>30</v>
      </c>
    </row>
    <row r="10" spans="2:36" ht="15" thickBot="1">
      <c r="B10" s="15"/>
      <c r="C10" s="146" t="s">
        <v>9</v>
      </c>
      <c r="D10" s="147"/>
      <c r="E10" s="6"/>
      <c r="F10" s="148" t="s">
        <v>10</v>
      </c>
      <c r="G10" s="149"/>
      <c r="H10" s="4"/>
      <c r="I10" s="146" t="s">
        <v>11</v>
      </c>
      <c r="J10" s="147"/>
      <c r="K10" s="4"/>
      <c r="L10" s="148" t="s">
        <v>12</v>
      </c>
      <c r="M10" s="149"/>
      <c r="N10" s="4"/>
      <c r="O10" s="146" t="s">
        <v>13</v>
      </c>
      <c r="P10" s="147"/>
      <c r="Q10" s="4"/>
      <c r="R10" s="148" t="s">
        <v>14</v>
      </c>
      <c r="S10" s="149"/>
      <c r="AA10" s="59"/>
      <c r="AB10" s="37" t="s">
        <v>31</v>
      </c>
      <c r="AC10" s="38" t="s">
        <v>127</v>
      </c>
      <c r="AD10" s="75" t="s">
        <v>128</v>
      </c>
      <c r="AE10" s="50"/>
      <c r="AF10" s="125" t="s">
        <v>129</v>
      </c>
      <c r="AG10" s="50" t="s">
        <v>46</v>
      </c>
      <c r="AH10" s="50" t="s">
        <v>129</v>
      </c>
      <c r="AI10" s="50" t="s">
        <v>129</v>
      </c>
      <c r="AJ10" s="50" t="s">
        <v>32</v>
      </c>
    </row>
    <row r="11" spans="2:36" ht="12.75">
      <c r="B11" s="12" t="s">
        <v>64</v>
      </c>
      <c r="C11" s="152">
        <v>100</v>
      </c>
      <c r="D11" s="153"/>
      <c r="E11" s="3"/>
      <c r="F11" s="154">
        <v>250</v>
      </c>
      <c r="G11" s="155"/>
      <c r="H11" s="5"/>
      <c r="I11" s="152">
        <v>500</v>
      </c>
      <c r="J11" s="153"/>
      <c r="K11" s="5"/>
      <c r="L11" s="154">
        <v>1000</v>
      </c>
      <c r="M11" s="155"/>
      <c r="N11" s="5"/>
      <c r="O11" s="152">
        <v>5000</v>
      </c>
      <c r="P11" s="153"/>
      <c r="Q11" s="5"/>
      <c r="R11" s="154">
        <v>10000</v>
      </c>
      <c r="S11" s="155"/>
      <c r="AA11" s="29">
        <v>1</v>
      </c>
      <c r="AB11" s="39">
        <v>25</v>
      </c>
      <c r="AC11" s="39">
        <f>0.344*POWER(AD11,-0.5478)</f>
        <v>0.00023938039318197805</v>
      </c>
      <c r="AD11" s="110">
        <f>AF11*$C$12</f>
        <v>580644</v>
      </c>
      <c r="AE11" s="51">
        <f>AF11/$C$12</f>
        <v>4</v>
      </c>
      <c r="AF11" s="124">
        <f>$C$11/AB11*$C$12</f>
        <v>1524</v>
      </c>
      <c r="AG11" s="51">
        <f>AC11*AD11</f>
        <v>138.99478901875648</v>
      </c>
      <c r="AH11" s="111">
        <f>SQRT(AD11/AE11)</f>
        <v>381</v>
      </c>
      <c r="AI11" s="112">
        <f>(AH11*AE11)</f>
        <v>1524</v>
      </c>
      <c r="AJ11" s="55">
        <f>(($AC$2/AH11)+($AC$3/AI11))*100+5</f>
        <v>9.166666666666666</v>
      </c>
    </row>
    <row r="12" spans="2:36" ht="12.75">
      <c r="B12" s="12" t="s">
        <v>137</v>
      </c>
      <c r="C12" s="165">
        <v>381</v>
      </c>
      <c r="D12" s="166"/>
      <c r="E12" s="3"/>
      <c r="F12" s="150">
        <v>381</v>
      </c>
      <c r="G12" s="151"/>
      <c r="H12" s="5"/>
      <c r="I12" s="165">
        <v>381</v>
      </c>
      <c r="J12" s="166"/>
      <c r="K12" s="5"/>
      <c r="L12" s="150">
        <v>381</v>
      </c>
      <c r="M12" s="151"/>
      <c r="N12" s="5"/>
      <c r="O12" s="165">
        <v>381</v>
      </c>
      <c r="P12" s="166"/>
      <c r="Q12" s="5"/>
      <c r="R12" s="150">
        <v>381</v>
      </c>
      <c r="S12" s="151"/>
      <c r="AA12" s="29">
        <v>2</v>
      </c>
      <c r="AB12" s="39">
        <v>50</v>
      </c>
      <c r="AC12" s="39">
        <f>0.275*POWER(AD12,-0.5478)</f>
        <v>0.00027974804415069213</v>
      </c>
      <c r="AD12" s="110">
        <f>AF12*$C$12</f>
        <v>290322</v>
      </c>
      <c r="AE12" s="51">
        <f>AF12/$C$12</f>
        <v>2</v>
      </c>
      <c r="AF12" s="124">
        <f>$C$11/AB12*$C$12</f>
        <v>762</v>
      </c>
      <c r="AG12" s="51">
        <f>AC12*AD12</f>
        <v>81.21701167391724</v>
      </c>
      <c r="AH12" s="111">
        <f>SQRT(AD12/AE12)</f>
        <v>381</v>
      </c>
      <c r="AI12" s="112">
        <f>(AH12*AE12)</f>
        <v>762</v>
      </c>
      <c r="AJ12" s="55">
        <f>(($AC$2/AH12)+($AC$3/AI12))*100+5</f>
        <v>10</v>
      </c>
    </row>
    <row r="13" spans="27:36" ht="12.75">
      <c r="AA13" s="29">
        <v>3</v>
      </c>
      <c r="AB13" s="39">
        <v>100</v>
      </c>
      <c r="AC13" s="39">
        <f>0.206*POWER(AD13,-0.5478)</f>
        <v>0.00030634148763552995</v>
      </c>
      <c r="AD13" s="110">
        <f>AF13*$C$12</f>
        <v>145161</v>
      </c>
      <c r="AE13" s="51">
        <f>AF13/$C$12</f>
        <v>1</v>
      </c>
      <c r="AF13" s="124">
        <f>$C$11/AB13*$C$12</f>
        <v>381</v>
      </c>
      <c r="AG13" s="51">
        <f>AC13*AD13</f>
        <v>44.46883668666116</v>
      </c>
      <c r="AH13" s="111">
        <f>SQRT(AD13/AE13)</f>
        <v>381</v>
      </c>
      <c r="AI13" s="112">
        <f>(AH13*AE13)</f>
        <v>381</v>
      </c>
      <c r="AJ13" s="55">
        <f>(($AC$2/AH13)+($AC$3/AI13))*100+5</f>
        <v>11.666666666666668</v>
      </c>
    </row>
    <row r="14" spans="8:36" ht="12.75">
      <c r="H14" s="172"/>
      <c r="I14" s="172"/>
      <c r="J14" s="172"/>
      <c r="K14" s="172"/>
      <c r="L14" s="172"/>
      <c r="M14" s="172"/>
      <c r="N14" s="172"/>
      <c r="O14" s="172"/>
      <c r="P14" s="172"/>
      <c r="S14" s="26"/>
      <c r="AA14" s="29">
        <v>4</v>
      </c>
      <c r="AB14" s="39">
        <v>250</v>
      </c>
      <c r="AC14" s="39">
        <f>0.206*POWER(AD14,-0.5478)</f>
        <v>0.0005060545730268364</v>
      </c>
      <c r="AD14" s="110">
        <f>AF14*$C$12</f>
        <v>58064.4</v>
      </c>
      <c r="AE14" s="51">
        <f>AF14/$C$12</f>
        <v>0.4</v>
      </c>
      <c r="AF14" s="124">
        <f>$C$11/AB14*$C$12</f>
        <v>152.4</v>
      </c>
      <c r="AG14" s="51">
        <f>AC14*AD14</f>
        <v>29.38375515005944</v>
      </c>
      <c r="AH14" s="111">
        <f>SQRT(AD14/AE14)</f>
        <v>381</v>
      </c>
      <c r="AI14" s="112">
        <f>(AH14*AE14)</f>
        <v>152.4</v>
      </c>
      <c r="AJ14" s="55">
        <f>(($AC$2/AH14)+($AC$3/AI14))*100+5</f>
        <v>16.666666666666664</v>
      </c>
    </row>
    <row r="15" spans="18:36" ht="13.5" thickBot="1">
      <c r="R15" s="25"/>
      <c r="S15" s="25"/>
      <c r="AA15" s="29">
        <v>5</v>
      </c>
      <c r="AB15" s="39">
        <v>1000</v>
      </c>
      <c r="AC15" s="39">
        <f>0.325*POWER(AD15,-0.5478)</f>
        <v>0.0017061686495294783</v>
      </c>
      <c r="AD15" s="110">
        <f>AF15*$C$12</f>
        <v>14516.1</v>
      </c>
      <c r="AE15" s="51">
        <f>AF15/$C$12</f>
        <v>0.1</v>
      </c>
      <c r="AF15" s="124">
        <f>$C$11/AB15*$C$12</f>
        <v>38.1</v>
      </c>
      <c r="AG15" s="51">
        <f>AC15*AD15</f>
        <v>24.76691473343486</v>
      </c>
      <c r="AH15" s="111">
        <f>SQRT(AD15/AE15)</f>
        <v>381</v>
      </c>
      <c r="AI15" s="112">
        <f>(AH15*AE15)</f>
        <v>38.1</v>
      </c>
      <c r="AJ15" s="55">
        <f>(($AC$2/AH15)+($AC$3/AI15))*100+5</f>
        <v>41.666666666666664</v>
      </c>
    </row>
    <row r="16" spans="1:36" ht="13.5" thickBot="1">
      <c r="A16" s="144" t="s">
        <v>138</v>
      </c>
      <c r="B16" s="144"/>
      <c r="C16" s="144"/>
      <c r="D16" s="144"/>
      <c r="E16" s="144"/>
      <c r="F16" s="144"/>
      <c r="G16" s="144"/>
      <c r="H16" s="144"/>
      <c r="I16" s="144"/>
      <c r="J16" s="144"/>
      <c r="K16" s="144"/>
      <c r="L16" s="144"/>
      <c r="M16" s="144"/>
      <c r="N16" s="144"/>
      <c r="O16" s="144"/>
      <c r="P16" s="144"/>
      <c r="Q16" s="144"/>
      <c r="R16" s="144"/>
      <c r="S16" s="144"/>
      <c r="T16" s="144"/>
      <c r="AA16" s="57" t="s">
        <v>1</v>
      </c>
      <c r="AB16" s="2"/>
      <c r="AC16" s="2"/>
      <c r="AD16" s="2"/>
      <c r="AE16" s="103"/>
      <c r="AH16" s="2"/>
      <c r="AI16" s="2"/>
      <c r="AJ16" s="2"/>
    </row>
    <row r="17" spans="27:36" ht="12.75">
      <c r="AA17" s="27"/>
      <c r="AB17" s="30"/>
      <c r="AC17" s="30"/>
      <c r="AD17" s="40"/>
      <c r="AE17" s="104"/>
      <c r="AF17" s="119"/>
      <c r="AG17" s="42"/>
      <c r="AH17" s="40"/>
      <c r="AI17" s="40"/>
      <c r="AJ17" s="43"/>
    </row>
    <row r="18" spans="2:36" ht="14.25">
      <c r="B18" t="s">
        <v>121</v>
      </c>
      <c r="AA18" s="58"/>
      <c r="AB18" s="31" t="s">
        <v>33</v>
      </c>
      <c r="AC18" s="32" t="s">
        <v>18</v>
      </c>
      <c r="AD18" s="76" t="s">
        <v>34</v>
      </c>
      <c r="AE18" s="44" t="s">
        <v>37</v>
      </c>
      <c r="AF18" s="120" t="s">
        <v>65</v>
      </c>
      <c r="AG18" s="46" t="s">
        <v>44</v>
      </c>
      <c r="AH18" s="47" t="s">
        <v>38</v>
      </c>
      <c r="AI18" s="47" t="s">
        <v>39</v>
      </c>
      <c r="AJ18" s="47" t="s">
        <v>19</v>
      </c>
    </row>
    <row r="19" spans="2:36" ht="12.75">
      <c r="B19" s="73" t="s">
        <v>62</v>
      </c>
      <c r="C19" s="73"/>
      <c r="AA19" s="28" t="s">
        <v>20</v>
      </c>
      <c r="AB19" s="33" t="s">
        <v>21</v>
      </c>
      <c r="AC19" s="34" t="s">
        <v>22</v>
      </c>
      <c r="AD19" s="190" t="s">
        <v>36</v>
      </c>
      <c r="AE19" s="105" t="s">
        <v>23</v>
      </c>
      <c r="AF19" s="121" t="s">
        <v>29</v>
      </c>
      <c r="AG19" s="48" t="s">
        <v>22</v>
      </c>
      <c r="AH19" s="48" t="s">
        <v>24</v>
      </c>
      <c r="AI19" s="48" t="s">
        <v>24</v>
      </c>
      <c r="AJ19" s="48" t="s">
        <v>25</v>
      </c>
    </row>
    <row r="20" spans="27:36" ht="12.75">
      <c r="AA20" s="1"/>
      <c r="AB20" s="35" t="s">
        <v>35</v>
      </c>
      <c r="AC20" s="36" t="s">
        <v>26</v>
      </c>
      <c r="AD20" s="191"/>
      <c r="AE20" s="106" t="s">
        <v>27</v>
      </c>
      <c r="AF20" s="122"/>
      <c r="AG20" s="49" t="s">
        <v>45</v>
      </c>
      <c r="AH20" s="49" t="s">
        <v>28</v>
      </c>
      <c r="AI20" s="49" t="s">
        <v>29</v>
      </c>
      <c r="AJ20" s="49" t="s">
        <v>30</v>
      </c>
    </row>
    <row r="21" spans="2:36" ht="13.5" thickBot="1">
      <c r="B21" s="142" t="s">
        <v>8</v>
      </c>
      <c r="C21" s="142"/>
      <c r="D21" s="142"/>
      <c r="E21" s="142"/>
      <c r="F21" s="142"/>
      <c r="G21" s="142"/>
      <c r="H21" s="142"/>
      <c r="I21" s="142"/>
      <c r="J21" s="142"/>
      <c r="K21" s="142"/>
      <c r="L21" s="142"/>
      <c r="M21" s="142"/>
      <c r="N21" s="142"/>
      <c r="O21" s="142"/>
      <c r="P21" s="142"/>
      <c r="Q21" s="142"/>
      <c r="R21" s="142"/>
      <c r="S21" s="142"/>
      <c r="AA21" s="59"/>
      <c r="AB21" s="37" t="s">
        <v>31</v>
      </c>
      <c r="AC21" s="38" t="s">
        <v>127</v>
      </c>
      <c r="AD21" s="75" t="s">
        <v>128</v>
      </c>
      <c r="AE21" s="75"/>
      <c r="AF21" s="125" t="s">
        <v>129</v>
      </c>
      <c r="AG21" s="50" t="s">
        <v>46</v>
      </c>
      <c r="AH21" s="50" t="s">
        <v>129</v>
      </c>
      <c r="AI21" s="50" t="s">
        <v>129</v>
      </c>
      <c r="AJ21" s="50" t="s">
        <v>32</v>
      </c>
    </row>
    <row r="22" spans="2:36" ht="15" thickTop="1">
      <c r="B22" s="168" t="s">
        <v>7</v>
      </c>
      <c r="C22" s="158" t="s">
        <v>9</v>
      </c>
      <c r="D22" s="187"/>
      <c r="E22" s="159"/>
      <c r="F22" s="156" t="s">
        <v>10</v>
      </c>
      <c r="G22" s="186"/>
      <c r="H22" s="157"/>
      <c r="I22" s="158" t="s">
        <v>11</v>
      </c>
      <c r="J22" s="187"/>
      <c r="K22" s="159"/>
      <c r="L22" s="156" t="s">
        <v>12</v>
      </c>
      <c r="M22" s="186"/>
      <c r="N22" s="157"/>
      <c r="O22" s="158" t="s">
        <v>13</v>
      </c>
      <c r="P22" s="187"/>
      <c r="Q22" s="159"/>
      <c r="R22" s="156" t="s">
        <v>14</v>
      </c>
      <c r="S22" s="186"/>
      <c r="T22" s="157"/>
      <c r="AA22" s="29">
        <v>1</v>
      </c>
      <c r="AB22" s="39">
        <v>25</v>
      </c>
      <c r="AC22" s="39">
        <f>0.344*POWER(AD22,-0.5478)</f>
        <v>0.00014490956048381851</v>
      </c>
      <c r="AD22" s="110">
        <f>AF22*$F$12</f>
        <v>1451610</v>
      </c>
      <c r="AE22" s="51">
        <f>AF22/$F$12</f>
        <v>10</v>
      </c>
      <c r="AF22" s="124">
        <f>$F$11/AB22*$F$12</f>
        <v>3810</v>
      </c>
      <c r="AG22" s="51">
        <f>AC22*AD22</f>
        <v>210.3521670939158</v>
      </c>
      <c r="AH22" s="111">
        <f>SQRT(AD22/AE22)</f>
        <v>381</v>
      </c>
      <c r="AI22" s="112">
        <f>(AH22*AE22)</f>
        <v>3810</v>
      </c>
      <c r="AJ22" s="55">
        <f>(($AC$2/AH22)+($AC$3/AI22))*100+5</f>
        <v>8.666666666666666</v>
      </c>
    </row>
    <row r="23" spans="2:36" ht="14.25">
      <c r="B23" s="169"/>
      <c r="C23" s="10" t="s">
        <v>66</v>
      </c>
      <c r="D23" s="10" t="s">
        <v>48</v>
      </c>
      <c r="E23" s="98" t="s">
        <v>111</v>
      </c>
      <c r="F23" s="11" t="s">
        <v>67</v>
      </c>
      <c r="G23" s="11" t="s">
        <v>52</v>
      </c>
      <c r="H23" s="100" t="s">
        <v>116</v>
      </c>
      <c r="I23" s="10" t="s">
        <v>68</v>
      </c>
      <c r="J23" s="10" t="s">
        <v>54</v>
      </c>
      <c r="K23" s="98" t="s">
        <v>117</v>
      </c>
      <c r="L23" s="11" t="s">
        <v>69</v>
      </c>
      <c r="M23" s="11" t="s">
        <v>56</v>
      </c>
      <c r="N23" s="100" t="s">
        <v>118</v>
      </c>
      <c r="O23" s="10" t="s">
        <v>70</v>
      </c>
      <c r="P23" s="10" t="s">
        <v>58</v>
      </c>
      <c r="Q23" s="98" t="s">
        <v>119</v>
      </c>
      <c r="R23" s="11" t="s">
        <v>71</v>
      </c>
      <c r="S23" s="11" t="s">
        <v>60</v>
      </c>
      <c r="T23" s="100" t="s">
        <v>120</v>
      </c>
      <c r="AA23" s="29">
        <v>2</v>
      </c>
      <c r="AB23" s="39">
        <v>50</v>
      </c>
      <c r="AC23" s="39">
        <f>0.275*POWER(AD23,-0.5478)</f>
        <v>0.00016934622583424094</v>
      </c>
      <c r="AD23" s="110">
        <f>AF23*$F$12</f>
        <v>725805</v>
      </c>
      <c r="AE23" s="51">
        <f>AF23/$F$12</f>
        <v>5</v>
      </c>
      <c r="AF23" s="124">
        <f>$F$11/AB23*$F$12</f>
        <v>1905</v>
      </c>
      <c r="AG23" s="51">
        <f>AC23*AD23</f>
        <v>122.91233744162125</v>
      </c>
      <c r="AH23" s="111">
        <f>SQRT(AD23/AE23)</f>
        <v>381</v>
      </c>
      <c r="AI23" s="112">
        <f>(AH23*AE23)</f>
        <v>1905</v>
      </c>
      <c r="AJ23" s="55">
        <f>(($AC$2/AH23)+($AC$3/AI23))*100+5</f>
        <v>9</v>
      </c>
    </row>
    <row r="24" spans="2:36" ht="14.25" customHeight="1" thickBot="1">
      <c r="B24" s="13" t="s">
        <v>101</v>
      </c>
      <c r="C24" s="71" t="s">
        <v>129</v>
      </c>
      <c r="D24" s="69" t="s">
        <v>49</v>
      </c>
      <c r="E24" s="102" t="s">
        <v>112</v>
      </c>
      <c r="F24" s="72" t="s">
        <v>129</v>
      </c>
      <c r="G24" s="70" t="s">
        <v>49</v>
      </c>
      <c r="H24" s="101" t="s">
        <v>112</v>
      </c>
      <c r="I24" s="71" t="s">
        <v>129</v>
      </c>
      <c r="J24" s="69" t="s">
        <v>49</v>
      </c>
      <c r="K24" s="102" t="s">
        <v>112</v>
      </c>
      <c r="L24" s="72" t="s">
        <v>129</v>
      </c>
      <c r="M24" s="70" t="s">
        <v>49</v>
      </c>
      <c r="N24" s="101" t="s">
        <v>112</v>
      </c>
      <c r="O24" s="71" t="s">
        <v>129</v>
      </c>
      <c r="P24" s="69" t="s">
        <v>49</v>
      </c>
      <c r="Q24" s="102" t="s">
        <v>112</v>
      </c>
      <c r="R24" s="72" t="s">
        <v>129</v>
      </c>
      <c r="S24" s="70" t="s">
        <v>49</v>
      </c>
      <c r="T24" s="101" t="s">
        <v>112</v>
      </c>
      <c r="AA24" s="29">
        <v>3</v>
      </c>
      <c r="AB24" s="39">
        <v>100</v>
      </c>
      <c r="AC24" s="39">
        <f>0.206*POWER(AD24,-0.5478)</f>
        <v>0.00018544463788843773</v>
      </c>
      <c r="AD24" s="110">
        <f>AF24*$F$12</f>
        <v>362902.5</v>
      </c>
      <c r="AE24" s="51">
        <f>AF24/$F$12</f>
        <v>2.5</v>
      </c>
      <c r="AF24" s="124">
        <f>$F$11/AB24*$F$12</f>
        <v>952.5</v>
      </c>
      <c r="AG24" s="51">
        <f>AC24*AD24</f>
        <v>67.29832270130878</v>
      </c>
      <c r="AH24" s="111">
        <f>SQRT(AD24/AE24)</f>
        <v>381</v>
      </c>
      <c r="AI24" s="112">
        <f>(AH24*AE24)</f>
        <v>952.5</v>
      </c>
      <c r="AJ24" s="55">
        <f>(($AC$2/AH24)+($AC$3/AI24))*100+5</f>
        <v>9.666666666666666</v>
      </c>
    </row>
    <row r="25" spans="2:36" ht="12.75">
      <c r="B25" s="14">
        <v>25</v>
      </c>
      <c r="C25" s="60">
        <f aca="true" t="shared" si="0" ref="C25:D28">AF11</f>
        <v>1524</v>
      </c>
      <c r="D25" s="60">
        <f t="shared" si="0"/>
        <v>138.99478901875648</v>
      </c>
      <c r="E25" s="60">
        <f>AJ11</f>
        <v>9.166666666666666</v>
      </c>
      <c r="F25" s="62">
        <f aca="true" t="shared" si="1" ref="F25:G28">AF22</f>
        <v>3810</v>
      </c>
      <c r="G25" s="62">
        <f t="shared" si="1"/>
        <v>210.3521670939158</v>
      </c>
      <c r="H25" s="85">
        <f>AJ22</f>
        <v>8.666666666666666</v>
      </c>
      <c r="I25" s="60">
        <f aca="true" t="shared" si="2" ref="I25:J28">AF33</f>
        <v>7620</v>
      </c>
      <c r="J25" s="60">
        <f t="shared" si="2"/>
        <v>287.78804874983626</v>
      </c>
      <c r="K25" s="60">
        <f>AJ33</f>
        <v>8.5</v>
      </c>
      <c r="L25" s="62">
        <f aca="true" t="shared" si="3" ref="L25:M28">AF44</f>
        <v>15240</v>
      </c>
      <c r="M25" s="62">
        <f t="shared" si="3"/>
        <v>393.7300107122767</v>
      </c>
      <c r="N25" s="85">
        <f>AJ44</f>
        <v>8.416666666666666</v>
      </c>
      <c r="O25" s="60">
        <f aca="true" t="shared" si="4" ref="O25:P28">AF55</f>
        <v>76200</v>
      </c>
      <c r="P25" s="60">
        <f t="shared" si="4"/>
        <v>815.2161121799153</v>
      </c>
      <c r="Q25" s="60">
        <f>AJ55</f>
        <v>8.35</v>
      </c>
      <c r="R25" s="62">
        <f aca="true" t="shared" si="5" ref="R25:S28">AF66</f>
        <v>152400</v>
      </c>
      <c r="S25" s="62">
        <f t="shared" si="5"/>
        <v>1115.3175052812237</v>
      </c>
      <c r="T25" s="85">
        <f>AJ66</f>
        <v>8.341666666666667</v>
      </c>
      <c r="AA25" s="29">
        <v>4</v>
      </c>
      <c r="AB25" s="39">
        <v>250</v>
      </c>
      <c r="AC25" s="39">
        <f>0.206*POWER(AD25,-0.5478)</f>
        <v>0.00030634148763552995</v>
      </c>
      <c r="AD25" s="110">
        <f>AF25*$F$12</f>
        <v>145161</v>
      </c>
      <c r="AE25" s="51">
        <f>AF25/$F$12</f>
        <v>1</v>
      </c>
      <c r="AF25" s="124">
        <f>$F$11/AB25*$F$12</f>
        <v>381</v>
      </c>
      <c r="AG25" s="51">
        <f>AC25*AD25</f>
        <v>44.46883668666116</v>
      </c>
      <c r="AH25" s="111">
        <f>SQRT(AD25/AE25)</f>
        <v>381</v>
      </c>
      <c r="AI25" s="112">
        <f>(AH25*AE25)</f>
        <v>381</v>
      </c>
      <c r="AJ25" s="55">
        <f>(($AC$2/AH25)+($AC$3/AI25))*100+5</f>
        <v>11.666666666666668</v>
      </c>
    </row>
    <row r="26" spans="2:36" ht="13.5" thickBot="1">
      <c r="B26" s="14">
        <v>50</v>
      </c>
      <c r="C26" s="60">
        <f t="shared" si="0"/>
        <v>762</v>
      </c>
      <c r="D26" s="60">
        <f t="shared" si="0"/>
        <v>81.21701167391724</v>
      </c>
      <c r="E26" s="60">
        <f>AJ12</f>
        <v>10</v>
      </c>
      <c r="F26" s="62">
        <f t="shared" si="1"/>
        <v>1905</v>
      </c>
      <c r="G26" s="62">
        <f t="shared" si="1"/>
        <v>122.91233744162125</v>
      </c>
      <c r="H26" s="85">
        <f>AJ23</f>
        <v>9</v>
      </c>
      <c r="I26" s="60">
        <f t="shared" si="2"/>
        <v>3810</v>
      </c>
      <c r="J26" s="60">
        <f t="shared" si="2"/>
        <v>168.15943590356645</v>
      </c>
      <c r="K26" s="60">
        <f>AJ34</f>
        <v>8.666666666666666</v>
      </c>
      <c r="L26" s="62">
        <f t="shared" si="3"/>
        <v>7620</v>
      </c>
      <c r="M26" s="62">
        <f t="shared" si="3"/>
        <v>230.06312036687498</v>
      </c>
      <c r="N26" s="85">
        <f>AJ45</f>
        <v>8.5</v>
      </c>
      <c r="O26" s="60">
        <f t="shared" si="4"/>
        <v>38100</v>
      </c>
      <c r="P26" s="60">
        <f t="shared" si="4"/>
        <v>476.3445951254115</v>
      </c>
      <c r="Q26" s="60">
        <f>AJ56</f>
        <v>8.366666666666667</v>
      </c>
      <c r="R26" s="62">
        <f t="shared" si="5"/>
        <v>76200</v>
      </c>
      <c r="S26" s="62">
        <f t="shared" si="5"/>
        <v>651.6989268880137</v>
      </c>
      <c r="T26" s="85">
        <f>AJ67</f>
        <v>8.35</v>
      </c>
      <c r="AA26" s="29">
        <v>5</v>
      </c>
      <c r="AB26" s="39">
        <v>1000</v>
      </c>
      <c r="AC26" s="39">
        <f>0.325*POWER(AD26,-0.5478)</f>
        <v>0.0010328337497826465</v>
      </c>
      <c r="AD26" s="110">
        <f>AF26*$F$12</f>
        <v>36290.25</v>
      </c>
      <c r="AE26" s="51">
        <f>AF26/$F$12</f>
        <v>0.25</v>
      </c>
      <c r="AF26" s="124">
        <f>$F$11/AB26*$F$12</f>
        <v>95.25</v>
      </c>
      <c r="AG26" s="51">
        <f>AC26*AD26</f>
        <v>37.481794988049685</v>
      </c>
      <c r="AH26" s="111">
        <f>SQRT(AD26/AE26)</f>
        <v>381</v>
      </c>
      <c r="AI26" s="112">
        <f>(AH26*AE26)</f>
        <v>95.25</v>
      </c>
      <c r="AJ26" s="55">
        <f>(($AC$2/AH26)+($AC$3/AI26))*100+5</f>
        <v>21.666666666666664</v>
      </c>
    </row>
    <row r="27" spans="2:36" ht="13.5" thickBot="1">
      <c r="B27" s="14">
        <v>100</v>
      </c>
      <c r="C27" s="60">
        <f t="shared" si="0"/>
        <v>381</v>
      </c>
      <c r="D27" s="132">
        <f t="shared" si="0"/>
        <v>44.46883668666116</v>
      </c>
      <c r="E27" s="60">
        <f>AJ13</f>
        <v>11.666666666666668</v>
      </c>
      <c r="F27" s="62">
        <f t="shared" si="1"/>
        <v>952.5</v>
      </c>
      <c r="G27" s="62">
        <f t="shared" si="1"/>
        <v>67.29832270130878</v>
      </c>
      <c r="H27" s="85">
        <f>AJ24</f>
        <v>9.666666666666666</v>
      </c>
      <c r="I27" s="60">
        <f>AF35</f>
        <v>1905</v>
      </c>
      <c r="J27" s="60">
        <f t="shared" si="2"/>
        <v>92.07251459263263</v>
      </c>
      <c r="K27" s="60">
        <f>AJ35</f>
        <v>9</v>
      </c>
      <c r="L27" s="62">
        <f t="shared" si="3"/>
        <v>3810</v>
      </c>
      <c r="M27" s="62">
        <f t="shared" si="3"/>
        <v>125.96670471321701</v>
      </c>
      <c r="N27" s="85">
        <f>AJ46</f>
        <v>8.666666666666666</v>
      </c>
      <c r="O27" s="60">
        <f>AF57</f>
        <v>19050</v>
      </c>
      <c r="P27" s="60">
        <f t="shared" si="4"/>
        <v>260.81346223685813</v>
      </c>
      <c r="Q27" s="60">
        <f>AJ57</f>
        <v>8.4</v>
      </c>
      <c r="R27" s="62">
        <f>AF68</f>
        <v>38100</v>
      </c>
      <c r="S27" s="62">
        <f t="shared" si="5"/>
        <v>356.8254058030355</v>
      </c>
      <c r="T27" s="85">
        <f>AJ68</f>
        <v>8.366666666666667</v>
      </c>
      <c r="AA27" s="56" t="s">
        <v>2</v>
      </c>
      <c r="AB27" s="2"/>
      <c r="AC27" s="2"/>
      <c r="AD27" s="2"/>
      <c r="AE27" s="103"/>
      <c r="AH27" s="2"/>
      <c r="AI27" s="2"/>
      <c r="AJ27" s="2"/>
    </row>
    <row r="28" spans="2:36" ht="12.75">
      <c r="B28" s="14">
        <v>250</v>
      </c>
      <c r="C28" s="60">
        <f t="shared" si="0"/>
        <v>152.4</v>
      </c>
      <c r="D28" s="132">
        <f t="shared" si="0"/>
        <v>29.38375515005944</v>
      </c>
      <c r="E28" s="60">
        <f>AJ14</f>
        <v>16.666666666666664</v>
      </c>
      <c r="F28" s="62">
        <f t="shared" si="1"/>
        <v>381</v>
      </c>
      <c r="G28" s="62">
        <f t="shared" si="1"/>
        <v>44.46883668666116</v>
      </c>
      <c r="H28" s="85">
        <f>AJ25</f>
        <v>11.666666666666668</v>
      </c>
      <c r="I28" s="60">
        <f>AF36</f>
        <v>762</v>
      </c>
      <c r="J28" s="60">
        <f t="shared" si="2"/>
        <v>60.83892510846164</v>
      </c>
      <c r="K28" s="60">
        <f>AJ36</f>
        <v>10</v>
      </c>
      <c r="L28" s="62">
        <f t="shared" si="3"/>
        <v>1524</v>
      </c>
      <c r="M28" s="62">
        <f t="shared" si="3"/>
        <v>83.23525156355765</v>
      </c>
      <c r="N28" s="85">
        <f>AJ47</f>
        <v>9.166666666666666</v>
      </c>
      <c r="O28" s="60">
        <f>AF58</f>
        <v>7620</v>
      </c>
      <c r="P28" s="60">
        <f t="shared" si="4"/>
        <v>172.3381919839136</v>
      </c>
      <c r="Q28" s="60">
        <f>AJ58</f>
        <v>8.5</v>
      </c>
      <c r="R28" s="62">
        <f>AF69</f>
        <v>15240</v>
      </c>
      <c r="S28" s="62">
        <f t="shared" si="5"/>
        <v>235.78018083351452</v>
      </c>
      <c r="T28" s="85">
        <f>AJ69</f>
        <v>8.416666666666666</v>
      </c>
      <c r="AA28" s="27"/>
      <c r="AB28" s="30"/>
      <c r="AC28" s="30"/>
      <c r="AD28" s="40"/>
      <c r="AE28" s="104"/>
      <c r="AF28" s="119"/>
      <c r="AG28" s="42"/>
      <c r="AH28" s="40"/>
      <c r="AI28" s="40"/>
      <c r="AJ28" s="43"/>
    </row>
    <row r="29" spans="2:36" ht="14.25">
      <c r="B29" s="14">
        <v>1000</v>
      </c>
      <c r="C29" s="60">
        <f>AF15</f>
        <v>38.1</v>
      </c>
      <c r="D29" s="132">
        <f>AG15</f>
        <v>24.76691473343486</v>
      </c>
      <c r="E29" s="60">
        <f>AJ15</f>
        <v>41.666666666666664</v>
      </c>
      <c r="F29" s="62">
        <f>AF26</f>
        <v>95.25</v>
      </c>
      <c r="G29" s="62">
        <f>AG26</f>
        <v>37.481794988049685</v>
      </c>
      <c r="H29" s="85">
        <f>AJ26</f>
        <v>21.666666666666664</v>
      </c>
      <c r="I29" s="60">
        <f>AF37</f>
        <v>190.5</v>
      </c>
      <c r="J29" s="60">
        <f>AG37</f>
        <v>51.27977901190926</v>
      </c>
      <c r="K29" s="60">
        <f>AJ37</f>
        <v>15</v>
      </c>
      <c r="L29" s="62">
        <f>AF48</f>
        <v>381</v>
      </c>
      <c r="M29" s="62">
        <f>AG48</f>
        <v>70.15714525808194</v>
      </c>
      <c r="N29" s="85">
        <f>AJ48</f>
        <v>11.666666666666668</v>
      </c>
      <c r="O29" s="60">
        <f>AF59</f>
        <v>1905</v>
      </c>
      <c r="P29" s="60">
        <f>AG59</f>
        <v>145.26003515827966</v>
      </c>
      <c r="Q29" s="60">
        <f>AJ59</f>
        <v>9</v>
      </c>
      <c r="R29" s="62">
        <f>AF70</f>
        <v>3810</v>
      </c>
      <c r="S29" s="62">
        <f>AG70</f>
        <v>198.73387879512396</v>
      </c>
      <c r="T29" s="85">
        <f>AJ70</f>
        <v>8.666666666666666</v>
      </c>
      <c r="AA29" s="58"/>
      <c r="AB29" s="31" t="s">
        <v>17</v>
      </c>
      <c r="AC29" s="32" t="s">
        <v>18</v>
      </c>
      <c r="AD29" s="76" t="s">
        <v>34</v>
      </c>
      <c r="AE29" s="44" t="s">
        <v>37</v>
      </c>
      <c r="AF29" s="120" t="s">
        <v>65</v>
      </c>
      <c r="AG29" s="46" t="s">
        <v>44</v>
      </c>
      <c r="AH29" s="47" t="s">
        <v>38</v>
      </c>
      <c r="AI29" s="47" t="s">
        <v>39</v>
      </c>
      <c r="AJ29" s="47" t="s">
        <v>19</v>
      </c>
    </row>
    <row r="30" spans="5:36" ht="12.75">
      <c r="E30" s="24"/>
      <c r="AA30" s="28" t="s">
        <v>20</v>
      </c>
      <c r="AB30" s="33" t="s">
        <v>21</v>
      </c>
      <c r="AC30" s="34" t="s">
        <v>22</v>
      </c>
      <c r="AD30" s="190" t="s">
        <v>36</v>
      </c>
      <c r="AE30" s="105" t="s">
        <v>23</v>
      </c>
      <c r="AF30" s="121" t="s">
        <v>29</v>
      </c>
      <c r="AG30" s="48" t="s">
        <v>22</v>
      </c>
      <c r="AH30" s="48" t="s">
        <v>24</v>
      </c>
      <c r="AI30" s="48" t="s">
        <v>24</v>
      </c>
      <c r="AJ30" s="48" t="s">
        <v>25</v>
      </c>
    </row>
    <row r="31" spans="1:36" ht="12.75">
      <c r="A31" s="95" t="s">
        <v>139</v>
      </c>
      <c r="B31" s="96"/>
      <c r="C31" s="96"/>
      <c r="D31" s="96"/>
      <c r="E31" s="96"/>
      <c r="F31" s="96"/>
      <c r="G31" s="96"/>
      <c r="H31" s="96"/>
      <c r="I31" s="96"/>
      <c r="J31" s="96"/>
      <c r="K31" s="96"/>
      <c r="L31" s="96"/>
      <c r="M31" s="96"/>
      <c r="N31" s="96"/>
      <c r="O31" s="96"/>
      <c r="P31" s="96"/>
      <c r="Q31" s="96"/>
      <c r="R31" s="96"/>
      <c r="S31" s="96"/>
      <c r="T31" s="96"/>
      <c r="AA31" s="1"/>
      <c r="AB31" s="35" t="s">
        <v>35</v>
      </c>
      <c r="AC31" s="36" t="s">
        <v>26</v>
      </c>
      <c r="AD31" s="191"/>
      <c r="AE31" s="106" t="s">
        <v>27</v>
      </c>
      <c r="AF31" s="122"/>
      <c r="AG31" s="49" t="s">
        <v>45</v>
      </c>
      <c r="AH31" s="49" t="s">
        <v>28</v>
      </c>
      <c r="AI31" s="49" t="s">
        <v>29</v>
      </c>
      <c r="AJ31" s="49" t="s">
        <v>30</v>
      </c>
    </row>
    <row r="32" spans="27:36" ht="13.5" thickBot="1">
      <c r="AA32" s="59"/>
      <c r="AB32" s="37" t="s">
        <v>31</v>
      </c>
      <c r="AC32" s="38" t="s">
        <v>127</v>
      </c>
      <c r="AD32" s="75" t="s">
        <v>128</v>
      </c>
      <c r="AE32" s="75"/>
      <c r="AF32" s="125" t="s">
        <v>129</v>
      </c>
      <c r="AG32" s="50" t="s">
        <v>46</v>
      </c>
      <c r="AH32" s="50" t="s">
        <v>129</v>
      </c>
      <c r="AI32" s="50" t="s">
        <v>129</v>
      </c>
      <c r="AJ32" s="50" t="s">
        <v>32</v>
      </c>
    </row>
    <row r="33" spans="27:36" ht="13.5" thickTop="1">
      <c r="AA33" s="29">
        <v>1</v>
      </c>
      <c r="AB33" s="39">
        <v>25</v>
      </c>
      <c r="AC33" s="39">
        <f>0.344*POWER(AD33,-0.5478)</f>
        <v>9.91271928237737E-05</v>
      </c>
      <c r="AD33" s="110">
        <f>AF33*$I$12</f>
        <v>2903220</v>
      </c>
      <c r="AE33" s="51">
        <f>AF33/$I$12</f>
        <v>20</v>
      </c>
      <c r="AF33" s="124">
        <f>$I$11/AB33*$I$12</f>
        <v>7620</v>
      </c>
      <c r="AG33" s="51">
        <f>AC33*AD33</f>
        <v>287.78804874983626</v>
      </c>
      <c r="AH33" s="111">
        <f>SQRT(AD33/AE33)</f>
        <v>381</v>
      </c>
      <c r="AI33" s="112">
        <f>(AH33*AE33)</f>
        <v>7620</v>
      </c>
      <c r="AJ33" s="55">
        <f>(($AC$2/AH33)+($AC$3/AI33))*100+5</f>
        <v>8.5</v>
      </c>
    </row>
    <row r="34" spans="2:36" ht="12.75">
      <c r="B34" t="s">
        <v>16</v>
      </c>
      <c r="AA34" s="29">
        <v>2</v>
      </c>
      <c r="AB34" s="39">
        <v>50</v>
      </c>
      <c r="AC34" s="39">
        <f>0.275*POWER(AD34,-0.5478)</f>
        <v>0.0001158433986425875</v>
      </c>
      <c r="AD34" s="110">
        <f>AF34*$I$12</f>
        <v>1451610</v>
      </c>
      <c r="AE34" s="51">
        <f>AF34/$I$12</f>
        <v>10</v>
      </c>
      <c r="AF34" s="124">
        <f>$I$11/AB34*$I$12</f>
        <v>3810</v>
      </c>
      <c r="AG34" s="51">
        <f>AC34*AD34</f>
        <v>168.15943590356645</v>
      </c>
      <c r="AH34" s="111">
        <f>SQRT(AD34/AE34)</f>
        <v>381</v>
      </c>
      <c r="AI34" s="112">
        <f>(AH34*AE34)</f>
        <v>3810</v>
      </c>
      <c r="AJ34" s="55">
        <f>(($AC$2/AH34)+($AC$3/AI34))*100+5</f>
        <v>8.666666666666666</v>
      </c>
    </row>
    <row r="35" spans="2:36" ht="12.75">
      <c r="B35" t="s">
        <v>61</v>
      </c>
      <c r="AA35" s="29">
        <v>3</v>
      </c>
      <c r="AB35" s="39">
        <v>100</v>
      </c>
      <c r="AC35" s="39">
        <f>0.206*POWER(AD35,-0.5478)</f>
        <v>0.00012685571826128592</v>
      </c>
      <c r="AD35" s="110">
        <f>AF35*$I$12</f>
        <v>725805</v>
      </c>
      <c r="AE35" s="51">
        <f>AF35/$I$12</f>
        <v>5</v>
      </c>
      <c r="AF35" s="124">
        <f>$I$11/AB35*$I$12</f>
        <v>1905</v>
      </c>
      <c r="AG35" s="51">
        <f>AC35*AD35</f>
        <v>92.07251459263263</v>
      </c>
      <c r="AH35" s="111">
        <f>SQRT(AD35/AE35)</f>
        <v>381</v>
      </c>
      <c r="AI35" s="112">
        <f>(AH35*AE35)</f>
        <v>1905</v>
      </c>
      <c r="AJ35" s="55">
        <f>(($AC$2/AH35)+($AC$3/AI35))*100+5</f>
        <v>9</v>
      </c>
    </row>
    <row r="36" spans="27:36" ht="12.75">
      <c r="AA36" s="29">
        <v>4</v>
      </c>
      <c r="AB36" s="39">
        <v>250</v>
      </c>
      <c r="AC36" s="39">
        <f>0.206*POWER(AD36,-0.5478)</f>
        <v>0.00020955671670924573</v>
      </c>
      <c r="AD36" s="110">
        <f>AF36*$I$12</f>
        <v>290322</v>
      </c>
      <c r="AE36" s="51">
        <f>AF36/$I$12</f>
        <v>2</v>
      </c>
      <c r="AF36" s="124">
        <f>$I$11/AB36*$I$12</f>
        <v>762</v>
      </c>
      <c r="AG36" s="51">
        <f>AC36*AD36</f>
        <v>60.83892510846164</v>
      </c>
      <c r="AH36" s="111">
        <f>SQRT(AD36/AE36)</f>
        <v>381</v>
      </c>
      <c r="AI36" s="112">
        <f>(AH36*AE36)</f>
        <v>762</v>
      </c>
      <c r="AJ36" s="55">
        <f>(($AC$2/AH36)+($AC$3/AI36))*100+5</f>
        <v>10</v>
      </c>
    </row>
    <row r="37" spans="2:36" ht="13.5" thickBot="1">
      <c r="B37" s="142" t="s">
        <v>15</v>
      </c>
      <c r="C37" s="142"/>
      <c r="D37" s="142"/>
      <c r="E37" s="142"/>
      <c r="F37" s="142"/>
      <c r="G37" s="142"/>
      <c r="H37" s="142"/>
      <c r="I37" s="142"/>
      <c r="J37" s="142"/>
      <c r="K37" s="142"/>
      <c r="L37" s="142"/>
      <c r="M37" s="142"/>
      <c r="N37" s="142"/>
      <c r="O37" s="142"/>
      <c r="P37" s="142"/>
      <c r="Q37" s="142"/>
      <c r="R37" s="142"/>
      <c r="S37" s="142"/>
      <c r="AA37" s="29">
        <v>5</v>
      </c>
      <c r="AB37" s="39">
        <v>1000</v>
      </c>
      <c r="AC37" s="39">
        <f>0.325*POWER(AD37,-0.5478)</f>
        <v>0.0007065228127652643</v>
      </c>
      <c r="AD37" s="110">
        <f>AF37*$I$12</f>
        <v>72580.5</v>
      </c>
      <c r="AE37" s="51">
        <f>AF37/$I$12</f>
        <v>0.5</v>
      </c>
      <c r="AF37" s="124">
        <f>$I$11/AB37*$I$12</f>
        <v>190.5</v>
      </c>
      <c r="AG37" s="51">
        <f>AC37*AD37</f>
        <v>51.27977901190926</v>
      </c>
      <c r="AH37" s="111">
        <f>SQRT(AD37/AE37)</f>
        <v>381</v>
      </c>
      <c r="AI37" s="112">
        <f>(AH37*AE37)</f>
        <v>190.5</v>
      </c>
      <c r="AJ37" s="55">
        <f>(($AC$2/AH37)+($AC$3/AI37))*100+5</f>
        <v>15</v>
      </c>
    </row>
    <row r="38" spans="2:36" ht="13.5" thickBot="1">
      <c r="B38" s="179" t="s">
        <v>7</v>
      </c>
      <c r="C38" s="17"/>
      <c r="D38" s="18"/>
      <c r="E38" s="18"/>
      <c r="F38" s="18"/>
      <c r="G38" s="18"/>
      <c r="H38" s="18"/>
      <c r="I38" s="18"/>
      <c r="J38" s="18"/>
      <c r="K38" s="18"/>
      <c r="L38" s="18"/>
      <c r="M38" s="18"/>
      <c r="N38" s="18"/>
      <c r="O38" s="18"/>
      <c r="P38" s="18"/>
      <c r="Q38" s="18"/>
      <c r="R38" s="18"/>
      <c r="S38" s="19"/>
      <c r="AA38" s="57" t="s">
        <v>3</v>
      </c>
      <c r="AB38" s="2"/>
      <c r="AC38" s="2"/>
      <c r="AD38" s="2"/>
      <c r="AE38" s="103"/>
      <c r="AH38" s="2"/>
      <c r="AI38" s="2"/>
      <c r="AJ38" s="2"/>
    </row>
    <row r="39" spans="2:36" ht="12.75">
      <c r="B39" s="180"/>
      <c r="C39" s="20"/>
      <c r="D39" s="21"/>
      <c r="E39" s="16"/>
      <c r="F39" s="21"/>
      <c r="G39" s="21"/>
      <c r="H39" s="16"/>
      <c r="I39" s="21"/>
      <c r="J39" s="21"/>
      <c r="K39" s="16"/>
      <c r="L39" s="21"/>
      <c r="M39" s="21"/>
      <c r="N39" s="16"/>
      <c r="O39" s="21"/>
      <c r="P39" s="21"/>
      <c r="Q39" s="16"/>
      <c r="R39" s="21"/>
      <c r="S39" s="22"/>
      <c r="AA39" s="27"/>
      <c r="AB39" s="30"/>
      <c r="AC39" s="30"/>
      <c r="AD39" s="40"/>
      <c r="AE39" s="104"/>
      <c r="AF39" s="119"/>
      <c r="AG39" s="42"/>
      <c r="AH39" s="40"/>
      <c r="AI39" s="40"/>
      <c r="AJ39" s="43"/>
    </row>
    <row r="40" spans="2:36" ht="15" thickBot="1">
      <c r="B40" s="13" t="s">
        <v>101</v>
      </c>
      <c r="C40" s="146" t="s">
        <v>9</v>
      </c>
      <c r="D40" s="147"/>
      <c r="E40" s="23"/>
      <c r="F40" s="148" t="s">
        <v>10</v>
      </c>
      <c r="G40" s="149"/>
      <c r="H40" s="23"/>
      <c r="I40" s="146" t="s">
        <v>11</v>
      </c>
      <c r="J40" s="147"/>
      <c r="K40" s="23"/>
      <c r="L40" s="148" t="s">
        <v>12</v>
      </c>
      <c r="M40" s="149"/>
      <c r="N40" s="23"/>
      <c r="O40" s="146" t="s">
        <v>13</v>
      </c>
      <c r="P40" s="147"/>
      <c r="Q40" s="23"/>
      <c r="R40" s="148" t="s">
        <v>14</v>
      </c>
      <c r="S40" s="149"/>
      <c r="AA40" s="58"/>
      <c r="AB40" s="31" t="s">
        <v>17</v>
      </c>
      <c r="AC40" s="32" t="s">
        <v>18</v>
      </c>
      <c r="AD40" s="76" t="s">
        <v>34</v>
      </c>
      <c r="AE40" s="44" t="s">
        <v>37</v>
      </c>
      <c r="AF40" s="120" t="s">
        <v>65</v>
      </c>
      <c r="AG40" s="46" t="s">
        <v>44</v>
      </c>
      <c r="AH40" s="47" t="s">
        <v>38</v>
      </c>
      <c r="AI40" s="47" t="s">
        <v>39</v>
      </c>
      <c r="AJ40" s="47" t="s">
        <v>19</v>
      </c>
    </row>
    <row r="41" spans="2:36" ht="12.75">
      <c r="B41" s="14">
        <v>25</v>
      </c>
      <c r="C41" s="175" t="str">
        <f>IF(AE11&lt;1,"Partial Square",IF(AE11&lt;=10,"Bar",IF(AE11&gt;10,"Serpentine")))</f>
        <v>Bar</v>
      </c>
      <c r="D41" s="176"/>
      <c r="E41" s="65"/>
      <c r="F41" s="177" t="str">
        <f>IF(AE22&lt;1,"Partial Square",IF(AE22&lt;=10,"Bar",IF(AE22&gt;10,"Serpentine")))</f>
        <v>Bar</v>
      </c>
      <c r="G41" s="178"/>
      <c r="H41" s="66"/>
      <c r="I41" s="175" t="str">
        <f>IF(AE33&lt;1,"Partial Square",IF(AE33&lt;=10,"Bar",IF(AE33&gt;10,"Serpentine")))</f>
        <v>Serpentine</v>
      </c>
      <c r="J41" s="176"/>
      <c r="K41" s="66"/>
      <c r="L41" s="177" t="str">
        <f>IF(AE44&lt;1,"Partial Square",IF(AE44&lt;=10,"Bar",IF(AE44&gt;10,"Serpentine")))</f>
        <v>Serpentine</v>
      </c>
      <c r="M41" s="178"/>
      <c r="N41" s="66"/>
      <c r="O41" s="175" t="str">
        <f>IF(AE55&lt;1,"Partial Square",IF(AE55&lt;=10,"Bar",IF(AE55&gt;10,"Serpentine")))</f>
        <v>Serpentine</v>
      </c>
      <c r="P41" s="176"/>
      <c r="Q41" s="66"/>
      <c r="R41" s="177" t="str">
        <f>IF(AE66&lt;1,"Partial Square",IF(AE66&lt;=10,"Bar",IF(AE66&gt;10,"Serpentine")))</f>
        <v>Serpentine</v>
      </c>
      <c r="S41" s="178"/>
      <c r="AA41" s="28" t="s">
        <v>20</v>
      </c>
      <c r="AB41" s="33" t="s">
        <v>21</v>
      </c>
      <c r="AC41" s="34" t="s">
        <v>22</v>
      </c>
      <c r="AD41" s="190" t="s">
        <v>36</v>
      </c>
      <c r="AE41" s="105" t="s">
        <v>23</v>
      </c>
      <c r="AF41" s="121" t="s">
        <v>29</v>
      </c>
      <c r="AG41" s="48" t="s">
        <v>22</v>
      </c>
      <c r="AH41" s="48" t="s">
        <v>24</v>
      </c>
      <c r="AI41" s="48" t="s">
        <v>24</v>
      </c>
      <c r="AJ41" s="48" t="s">
        <v>25</v>
      </c>
    </row>
    <row r="42" spans="2:36" ht="12.75">
      <c r="B42" s="14">
        <v>50</v>
      </c>
      <c r="C42" s="175" t="str">
        <f>IF(AE12&lt;1,"Partial Square",IF(AE12&lt;=10,"Bar",IF(AE12&gt;10,"Serpentine")))</f>
        <v>Bar</v>
      </c>
      <c r="D42" s="176"/>
      <c r="E42" s="65"/>
      <c r="F42" s="177" t="str">
        <f>IF(AE23&lt;1,"Partial Square",IF(AE23&lt;=10,"Bar",IF(AE23&gt;10,"Serpentine")))</f>
        <v>Bar</v>
      </c>
      <c r="G42" s="178"/>
      <c r="H42" s="66"/>
      <c r="I42" s="175" t="str">
        <f>IF(AE34&lt;1,"Partial Square",IF(AE34&lt;=10,"Bar",IF(AE34&gt;10,"Serpentine")))</f>
        <v>Bar</v>
      </c>
      <c r="J42" s="176"/>
      <c r="K42" s="66"/>
      <c r="L42" s="177" t="str">
        <f>IF(AE45&lt;1,"Partial Square",IF(AE45&lt;=10,"Bar",IF(AE45&gt;10,"Serpentine")))</f>
        <v>Serpentine</v>
      </c>
      <c r="M42" s="178"/>
      <c r="N42" s="66"/>
      <c r="O42" s="175" t="str">
        <f>IF(AE56&lt;1,"Partial Square",IF(AE56&lt;=10,"Bar",IF(AE56&gt;10,"Serpentine")))</f>
        <v>Serpentine</v>
      </c>
      <c r="P42" s="176"/>
      <c r="Q42" s="66"/>
      <c r="R42" s="177" t="str">
        <f>IF(AE67&lt;1,"Partial Square",IF(AE67&lt;=10,"Bar",IF(AE67&gt;10,"Serpentine")))</f>
        <v>Serpentine</v>
      </c>
      <c r="S42" s="178"/>
      <c r="AA42" s="1"/>
      <c r="AB42" s="35" t="s">
        <v>35</v>
      </c>
      <c r="AC42" s="36" t="s">
        <v>26</v>
      </c>
      <c r="AD42" s="191"/>
      <c r="AE42" s="106" t="s">
        <v>27</v>
      </c>
      <c r="AF42" s="122"/>
      <c r="AG42" s="49" t="s">
        <v>45</v>
      </c>
      <c r="AH42" s="49" t="s">
        <v>28</v>
      </c>
      <c r="AI42" s="49" t="s">
        <v>29</v>
      </c>
      <c r="AJ42" s="49" t="s">
        <v>30</v>
      </c>
    </row>
    <row r="43" spans="2:36" ht="13.5" thickBot="1">
      <c r="B43" s="14">
        <v>100</v>
      </c>
      <c r="C43" s="175" t="str">
        <f>IF(AE13&lt;1,"Partial Square",IF(AE13&lt;=10,"Bar",IF(AE13&gt;10,"Serpentine")))</f>
        <v>Bar</v>
      </c>
      <c r="D43" s="176"/>
      <c r="E43" s="67"/>
      <c r="F43" s="177" t="str">
        <f>IF(AE24&lt;1,"Partial Square",IF(AE24&lt;=10,"Bar",IF(AE24&gt;10,"Serpentine")))</f>
        <v>Bar</v>
      </c>
      <c r="G43" s="178"/>
      <c r="H43" s="68"/>
      <c r="I43" s="175" t="str">
        <f>IF(AE35&lt;1,"Partial Square",IF(AE35&lt;=10,"Bar",IF(AE35&gt;10,"Serpentine")))</f>
        <v>Bar</v>
      </c>
      <c r="J43" s="176"/>
      <c r="K43" s="68"/>
      <c r="L43" s="177" t="str">
        <f>IF(AE46&lt;1,"Partial Square",IF(AE46&lt;=10,"Bar",IF(AE46&gt;10,"Serpentine")))</f>
        <v>Bar</v>
      </c>
      <c r="M43" s="178"/>
      <c r="N43" s="68"/>
      <c r="O43" s="175" t="str">
        <f>IF(AE57&lt;1,"Partial Square",IF(AE57&lt;=10,"Bar",IF(AE57&gt;10,"Serpentine")))</f>
        <v>Serpentine</v>
      </c>
      <c r="P43" s="176"/>
      <c r="Q43" s="68"/>
      <c r="R43" s="177" t="str">
        <f>IF(AE68&lt;1,"Partial Square",IF(AE68&lt;=10,"Bar",IF(AE68&gt;10,"Serpentine")))</f>
        <v>Serpentine</v>
      </c>
      <c r="S43" s="178"/>
      <c r="AA43" s="59"/>
      <c r="AB43" s="37" t="s">
        <v>31</v>
      </c>
      <c r="AC43" s="38" t="s">
        <v>127</v>
      </c>
      <c r="AD43" s="75" t="s">
        <v>128</v>
      </c>
      <c r="AE43" s="75"/>
      <c r="AF43" s="125" t="s">
        <v>129</v>
      </c>
      <c r="AG43" s="50" t="s">
        <v>46</v>
      </c>
      <c r="AH43" s="50" t="s">
        <v>129</v>
      </c>
      <c r="AI43" s="50" t="s">
        <v>129</v>
      </c>
      <c r="AJ43" s="50" t="s">
        <v>32</v>
      </c>
    </row>
    <row r="44" spans="2:36" ht="13.5" thickTop="1">
      <c r="B44" s="14">
        <v>250</v>
      </c>
      <c r="C44" s="175" t="str">
        <f>IF(AE14&lt;1,"Partial Square",IF(AE14&lt;=10,"Bar",IF(AE14&gt;10,"Serpentine")))</f>
        <v>Partial Square</v>
      </c>
      <c r="D44" s="176"/>
      <c r="E44" s="67"/>
      <c r="F44" s="177" t="str">
        <f>IF(AE25&lt;1,"Partial Square",IF(AE25&lt;=10,"Bar",IF(AE25&gt;10,"Serpentine")))</f>
        <v>Bar</v>
      </c>
      <c r="G44" s="178"/>
      <c r="H44" s="68"/>
      <c r="I44" s="175" t="str">
        <f>IF(AE36&lt;1,"Partial Square",IF(AE36&lt;=10,"Bar",IF(AE36&gt;10,"Serpentine")))</f>
        <v>Bar</v>
      </c>
      <c r="J44" s="176"/>
      <c r="K44" s="68"/>
      <c r="L44" s="177" t="str">
        <f>IF(AE47&lt;1,"Partial Square",IF(AE47&lt;=10,"Bar",IF(AE47&gt;10,"Serpentine")))</f>
        <v>Bar</v>
      </c>
      <c r="M44" s="178"/>
      <c r="N44" s="68"/>
      <c r="O44" s="175" t="str">
        <f>IF(AE58&lt;1,"Partial Square",IF(AE58&lt;=10,"Bar",IF(AE58&gt;10,"Serpentine")))</f>
        <v>Serpentine</v>
      </c>
      <c r="P44" s="176"/>
      <c r="Q44" s="68"/>
      <c r="R44" s="177" t="str">
        <f>IF(AE69&lt;1,"Partial Square",IF(AE69&lt;=10,"Bar",IF(AE69&gt;10,"Serpentine")))</f>
        <v>Serpentine</v>
      </c>
      <c r="S44" s="178"/>
      <c r="AA44" s="29">
        <v>1</v>
      </c>
      <c r="AB44" s="39">
        <v>25</v>
      </c>
      <c r="AC44" s="39">
        <f>0.344*POWER(AD44,-0.5478)</f>
        <v>6.780919301883369E-05</v>
      </c>
      <c r="AD44" s="110">
        <f>AF44*$L$12</f>
        <v>5806440</v>
      </c>
      <c r="AE44" s="51">
        <f>AF44/$L$12</f>
        <v>40</v>
      </c>
      <c r="AF44" s="124">
        <f>$L$11/AB44*$L$12</f>
        <v>15240</v>
      </c>
      <c r="AG44" s="51">
        <f>AC44*AD44</f>
        <v>393.7300107122767</v>
      </c>
      <c r="AH44" s="111">
        <f>SQRT(AD44/AE44)</f>
        <v>381</v>
      </c>
      <c r="AI44" s="112">
        <f>(AH44*AE44)</f>
        <v>15240</v>
      </c>
      <c r="AJ44" s="55">
        <f>(($AC$2/AH44)+($AC$3/AI44))*100+5</f>
        <v>8.416666666666666</v>
      </c>
    </row>
    <row r="45" spans="2:36" ht="12.75">
      <c r="B45" s="14">
        <v>1000</v>
      </c>
      <c r="C45" s="175" t="str">
        <f>IF(AE15&lt;1,"Partial Square",IF(AE15&lt;=10,"Bar",IF(AE15&gt;10,"Serpentine")))</f>
        <v>Partial Square</v>
      </c>
      <c r="D45" s="176"/>
      <c r="E45" s="67"/>
      <c r="F45" s="177" t="str">
        <f>IF(AE26&lt;1,"Partial Square",IF(AE26&lt;=10,"Bar",IF(AE26&gt;10,"Serpentine")))</f>
        <v>Partial Square</v>
      </c>
      <c r="G45" s="178"/>
      <c r="H45" s="68"/>
      <c r="I45" s="175" t="str">
        <f>IF(AE37&lt;1,"Partial Square",IF(AE37&lt;=10,"Bar",IF(AE37&gt;10,"Serpentine")))</f>
        <v>Partial Square</v>
      </c>
      <c r="J45" s="176"/>
      <c r="K45" s="68"/>
      <c r="L45" s="177" t="str">
        <f>IF(AE48&lt;1,"Partial Square",IF(AE48&lt;=10,"Bar",IF(AE48&gt;10,"Serpentine")))</f>
        <v>Bar</v>
      </c>
      <c r="M45" s="178"/>
      <c r="N45" s="68"/>
      <c r="O45" s="175" t="str">
        <f>IF(AE59&lt;1,"Partial Square",IF(AE59&lt;=10,"Bar",IF(AE59&gt;10,"Serpentine")))</f>
        <v>Bar</v>
      </c>
      <c r="P45" s="176"/>
      <c r="Q45" s="68"/>
      <c r="R45" s="177" t="str">
        <f>IF(AE70&lt;1,"Partial Square",IF(AE70&lt;=10,"Bar",IF(AE70&gt;10,"Serpentine")))</f>
        <v>Bar</v>
      </c>
      <c r="S45" s="178"/>
      <c r="AA45" s="29">
        <v>2</v>
      </c>
      <c r="AB45" s="39">
        <v>50</v>
      </c>
      <c r="AC45" s="39">
        <f>0.275*POWER(AD45,-0.5478)</f>
        <v>7.924412217016795E-05</v>
      </c>
      <c r="AD45" s="110">
        <f>AF45*$L$12</f>
        <v>2903220</v>
      </c>
      <c r="AE45" s="51">
        <f>AF45/$L$12</f>
        <v>20</v>
      </c>
      <c r="AF45" s="124">
        <f>$L$11/AB45*$L$12</f>
        <v>7620</v>
      </c>
      <c r="AG45" s="51">
        <f>AC45*AD45</f>
        <v>230.06312036687498</v>
      </c>
      <c r="AH45" s="111">
        <f>SQRT(AD45/AE45)</f>
        <v>381</v>
      </c>
      <c r="AI45" s="112">
        <f>(AH45*AE45)</f>
        <v>7620</v>
      </c>
      <c r="AJ45" s="55">
        <f>(($AC$2/AH45)+($AC$3/AI45))*100+5</f>
        <v>8.5</v>
      </c>
    </row>
    <row r="46" spans="27:36" ht="12.75">
      <c r="AA46" s="29">
        <v>3</v>
      </c>
      <c r="AB46" s="39">
        <v>100</v>
      </c>
      <c r="AC46" s="39">
        <f>0.206*POWER(AD46,-0.5478)</f>
        <v>8.677723680135644E-05</v>
      </c>
      <c r="AD46" s="110">
        <f>AF46*$L$12</f>
        <v>1451610</v>
      </c>
      <c r="AE46" s="51">
        <f>AF46/$L$12</f>
        <v>10</v>
      </c>
      <c r="AF46" s="124">
        <f>$L$11/AB46*$L$12</f>
        <v>3810</v>
      </c>
      <c r="AG46" s="51">
        <f>AC46*AD46</f>
        <v>125.96670471321701</v>
      </c>
      <c r="AH46" s="111">
        <f>SQRT(AD46/AE46)</f>
        <v>381</v>
      </c>
      <c r="AI46" s="112">
        <f>(AH46*AE46)</f>
        <v>3810</v>
      </c>
      <c r="AJ46" s="55">
        <f>(($AC$2/AH46)+($AC$3/AI46))*100+5</f>
        <v>8.666666666666666</v>
      </c>
    </row>
    <row r="47" spans="27:36" ht="12.75">
      <c r="AA47" s="29">
        <v>4</v>
      </c>
      <c r="AB47" s="39">
        <v>250</v>
      </c>
      <c r="AC47" s="39">
        <f>0.206*POWER(AD47,-0.5478)</f>
        <v>0.00014334988661478918</v>
      </c>
      <c r="AD47" s="110">
        <f>AF47*$L$12</f>
        <v>580644</v>
      </c>
      <c r="AE47" s="51">
        <f>AF47/$L$12</f>
        <v>4</v>
      </c>
      <c r="AF47" s="124">
        <f>$L$11/AB47*$L$12</f>
        <v>1524</v>
      </c>
      <c r="AG47" s="51">
        <f>AC47*AD47</f>
        <v>83.23525156355765</v>
      </c>
      <c r="AH47" s="111">
        <f>SQRT(AD47/AE47)</f>
        <v>381</v>
      </c>
      <c r="AI47" s="112">
        <f>(AH47*AE47)</f>
        <v>1524</v>
      </c>
      <c r="AJ47" s="55">
        <f>(($AC$2/AH47)+($AC$3/AI47))*100+5</f>
        <v>9.166666666666666</v>
      </c>
    </row>
    <row r="48" spans="27:36" ht="13.5" thickBot="1">
      <c r="AA48" s="29">
        <v>5</v>
      </c>
      <c r="AB48" s="39">
        <v>1000</v>
      </c>
      <c r="AC48" s="39">
        <f>0.325*POWER(AD48,-0.5478)</f>
        <v>0.00048330574505605457</v>
      </c>
      <c r="AD48" s="110">
        <f>AF48*$L$12</f>
        <v>145161</v>
      </c>
      <c r="AE48" s="51">
        <f>AF48/$L$12</f>
        <v>1</v>
      </c>
      <c r="AF48" s="124">
        <f>$L$11/AB48*$L$12</f>
        <v>381</v>
      </c>
      <c r="AG48" s="51">
        <f>AC48*AD48</f>
        <v>70.15714525808194</v>
      </c>
      <c r="AH48" s="111">
        <f>SQRT(AD48/AE48)</f>
        <v>381</v>
      </c>
      <c r="AI48" s="112">
        <f>(AH48*AE48)</f>
        <v>381</v>
      </c>
      <c r="AJ48" s="55">
        <f>(($AC$2/AH48)+($AC$3/AI48))*100+5</f>
        <v>11.666666666666668</v>
      </c>
    </row>
    <row r="49" spans="27:36" ht="13.5" thickBot="1">
      <c r="AA49" s="56" t="s">
        <v>4</v>
      </c>
      <c r="AB49" s="2"/>
      <c r="AC49" s="2"/>
      <c r="AD49" s="2"/>
      <c r="AE49" s="103"/>
      <c r="AH49" s="2"/>
      <c r="AI49" s="2"/>
      <c r="AJ49" s="2"/>
    </row>
    <row r="50" spans="27:36" ht="12.75">
      <c r="AA50" s="27"/>
      <c r="AB50" s="30"/>
      <c r="AC50" s="30"/>
      <c r="AD50" s="40"/>
      <c r="AE50" s="104"/>
      <c r="AF50" s="119"/>
      <c r="AG50" s="42"/>
      <c r="AH50" s="40"/>
      <c r="AI50" s="40"/>
      <c r="AJ50" s="43"/>
    </row>
    <row r="51" spans="27:36" ht="14.25">
      <c r="AA51" s="58"/>
      <c r="AB51" s="31" t="s">
        <v>17</v>
      </c>
      <c r="AC51" s="32" t="s">
        <v>18</v>
      </c>
      <c r="AD51" s="76" t="s">
        <v>34</v>
      </c>
      <c r="AE51" s="44" t="s">
        <v>37</v>
      </c>
      <c r="AF51" s="120" t="s">
        <v>65</v>
      </c>
      <c r="AG51" s="46" t="s">
        <v>44</v>
      </c>
      <c r="AH51" s="47" t="s">
        <v>38</v>
      </c>
      <c r="AI51" s="47" t="s">
        <v>39</v>
      </c>
      <c r="AJ51" s="47" t="s">
        <v>19</v>
      </c>
    </row>
    <row r="52" spans="27:36" ht="12.75">
      <c r="AA52" s="28" t="s">
        <v>20</v>
      </c>
      <c r="AB52" s="33" t="s">
        <v>21</v>
      </c>
      <c r="AC52" s="34" t="s">
        <v>22</v>
      </c>
      <c r="AD52" s="190" t="s">
        <v>36</v>
      </c>
      <c r="AE52" s="105" t="s">
        <v>23</v>
      </c>
      <c r="AF52" s="121" t="s">
        <v>29</v>
      </c>
      <c r="AG52" s="48" t="s">
        <v>22</v>
      </c>
      <c r="AH52" s="48" t="s">
        <v>24</v>
      </c>
      <c r="AI52" s="48" t="s">
        <v>24</v>
      </c>
      <c r="AJ52" s="48" t="s">
        <v>25</v>
      </c>
    </row>
    <row r="53" spans="27:36" ht="12.75">
      <c r="AA53" s="1"/>
      <c r="AB53" s="35" t="s">
        <v>35</v>
      </c>
      <c r="AC53" s="36" t="s">
        <v>26</v>
      </c>
      <c r="AD53" s="191"/>
      <c r="AE53" s="106" t="s">
        <v>27</v>
      </c>
      <c r="AF53" s="122"/>
      <c r="AG53" s="49" t="s">
        <v>45</v>
      </c>
      <c r="AH53" s="49" t="s">
        <v>28</v>
      </c>
      <c r="AI53" s="49" t="s">
        <v>29</v>
      </c>
      <c r="AJ53" s="49" t="s">
        <v>30</v>
      </c>
    </row>
    <row r="54" spans="27:36" ht="21" customHeight="1" thickBot="1">
      <c r="AA54" s="59"/>
      <c r="AB54" s="37" t="s">
        <v>31</v>
      </c>
      <c r="AC54" s="38" t="s">
        <v>127</v>
      </c>
      <c r="AD54" s="75" t="s">
        <v>128</v>
      </c>
      <c r="AE54" s="75"/>
      <c r="AF54" s="125" t="s">
        <v>129</v>
      </c>
      <c r="AG54" s="50" t="s">
        <v>46</v>
      </c>
      <c r="AH54" s="50" t="s">
        <v>129</v>
      </c>
      <c r="AI54" s="50" t="s">
        <v>129</v>
      </c>
      <c r="AJ54" s="50" t="s">
        <v>32</v>
      </c>
    </row>
    <row r="55" spans="27:36" ht="13.5" thickTop="1">
      <c r="AA55" s="29">
        <v>1</v>
      </c>
      <c r="AB55" s="39">
        <v>25</v>
      </c>
      <c r="AC55" s="39">
        <f>0.344*POWER(AD55,-0.5478)</f>
        <v>2.8079722245641572E-05</v>
      </c>
      <c r="AD55" s="110">
        <f>AF55*$O$12</f>
        <v>29032200</v>
      </c>
      <c r="AE55" s="51">
        <f>AF55/$O$12</f>
        <v>200</v>
      </c>
      <c r="AF55" s="124">
        <f>$O$11/AB55*$O$12</f>
        <v>76200</v>
      </c>
      <c r="AG55" s="51">
        <f>AC55*AD55</f>
        <v>815.2161121799153</v>
      </c>
      <c r="AH55" s="111">
        <f>SQRT(AD55/AE55)</f>
        <v>381</v>
      </c>
      <c r="AI55" s="112">
        <f>(AH55*AE55)</f>
        <v>76200</v>
      </c>
      <c r="AJ55" s="55">
        <f>(($AC$2/AH55)+($AC$3/AI55))*100+5</f>
        <v>8.35</v>
      </c>
    </row>
    <row r="56" spans="27:36" ht="12.75">
      <c r="AA56" s="29">
        <v>2</v>
      </c>
      <c r="AB56" s="39">
        <v>50</v>
      </c>
      <c r="AC56" s="39">
        <f>0.275*POWER(AD56,-0.5478)</f>
        <v>3.281491551624827E-05</v>
      </c>
      <c r="AD56" s="110">
        <f>AF56*$O$12</f>
        <v>14516100</v>
      </c>
      <c r="AE56" s="51">
        <f>AF56/$O$12</f>
        <v>100</v>
      </c>
      <c r="AF56" s="124">
        <f>$O$11/AB56*$O$12</f>
        <v>38100</v>
      </c>
      <c r="AG56" s="51">
        <f>AC56*AD56</f>
        <v>476.3445951254115</v>
      </c>
      <c r="AH56" s="111">
        <f>SQRT(AD56/AE56)</f>
        <v>381</v>
      </c>
      <c r="AI56" s="112">
        <f>(AH56*AE56)</f>
        <v>38100</v>
      </c>
      <c r="AJ56" s="55">
        <f>(($AC$2/AH56)+($AC$3/AI56))*100+5</f>
        <v>8.366666666666667</v>
      </c>
    </row>
    <row r="57" spans="27:36" ht="12.75">
      <c r="AA57" s="29">
        <v>3</v>
      </c>
      <c r="AB57" s="39">
        <v>100</v>
      </c>
      <c r="AC57" s="39">
        <f>0.206*POWER(AD57,-0.5478)</f>
        <v>3.593437111026489E-05</v>
      </c>
      <c r="AD57" s="110">
        <f>AF57*$O$12</f>
        <v>7258050</v>
      </c>
      <c r="AE57" s="51">
        <f>AF57/$O$12</f>
        <v>50</v>
      </c>
      <c r="AF57" s="124">
        <f>$O$11/AB57*$O$12</f>
        <v>19050</v>
      </c>
      <c r="AG57" s="51">
        <f>AC57*AD57</f>
        <v>260.81346223685813</v>
      </c>
      <c r="AH57" s="111">
        <f>SQRT(AD57/AE57)</f>
        <v>381</v>
      </c>
      <c r="AI57" s="112">
        <f>(AH57*AE57)</f>
        <v>19050</v>
      </c>
      <c r="AJ57" s="55">
        <f>(($AC$2/AH57)+($AC$3/AI57))*100+5</f>
        <v>8.4</v>
      </c>
    </row>
    <row r="58" spans="27:36" ht="12.75">
      <c r="AA58" s="29">
        <v>4</v>
      </c>
      <c r="AB58" s="39">
        <v>250</v>
      </c>
      <c r="AC58" s="39">
        <f>0.206*POWER(AD58,-0.5478)</f>
        <v>5.936105151656216E-05</v>
      </c>
      <c r="AD58" s="110">
        <f>AF58*$O$12</f>
        <v>2903220</v>
      </c>
      <c r="AE58" s="51">
        <f>AF58/$O$12</f>
        <v>20</v>
      </c>
      <c r="AF58" s="124">
        <f>$O$11/AB58*$O$12</f>
        <v>7620</v>
      </c>
      <c r="AG58" s="51">
        <f>AC58*AD58</f>
        <v>172.3381919839136</v>
      </c>
      <c r="AH58" s="111">
        <f>SQRT(AD58/AE58)</f>
        <v>381</v>
      </c>
      <c r="AI58" s="112">
        <f>(AH58*AE58)</f>
        <v>7620</v>
      </c>
      <c r="AJ58" s="55">
        <f>(($AC$2/AH58)+($AC$3/AI58))*100+5</f>
        <v>8.5</v>
      </c>
    </row>
    <row r="59" spans="27:36" ht="13.5" thickBot="1">
      <c r="AA59" s="29">
        <v>5</v>
      </c>
      <c r="AB59" s="39">
        <v>1000</v>
      </c>
      <c r="AC59" s="39">
        <f>0.325*POWER(AD59,-0.5478)</f>
        <v>0.00020013644871319384</v>
      </c>
      <c r="AD59" s="110">
        <f>AF59*$O$12</f>
        <v>725805</v>
      </c>
      <c r="AE59" s="51">
        <f>AF59/$O$12</f>
        <v>5</v>
      </c>
      <c r="AF59" s="124">
        <f>$O$11/AB59*$O$12</f>
        <v>1905</v>
      </c>
      <c r="AG59" s="51">
        <f>AC59*AD59</f>
        <v>145.26003515827966</v>
      </c>
      <c r="AH59" s="111">
        <f>SQRT(AD59/AE59)</f>
        <v>381</v>
      </c>
      <c r="AI59" s="112">
        <f>(AH59*AE59)</f>
        <v>1905</v>
      </c>
      <c r="AJ59" s="55">
        <f>(($AC$2/AH59)+($AC$3/AI59))*100+5</f>
        <v>9</v>
      </c>
    </row>
    <row r="60" spans="27:36" ht="13.5" thickBot="1">
      <c r="AA60" s="57" t="s">
        <v>5</v>
      </c>
      <c r="AB60" s="2"/>
      <c r="AC60" s="2"/>
      <c r="AD60" s="2"/>
      <c r="AE60" s="103"/>
      <c r="AH60" s="2"/>
      <c r="AI60" s="2"/>
      <c r="AJ60" s="2"/>
    </row>
    <row r="61" spans="27:36" ht="12.75">
      <c r="AA61" s="27"/>
      <c r="AB61" s="30"/>
      <c r="AC61" s="30"/>
      <c r="AD61" s="40"/>
      <c r="AE61" s="104"/>
      <c r="AF61" s="119"/>
      <c r="AG61" s="42"/>
      <c r="AH61" s="40"/>
      <c r="AI61" s="40"/>
      <c r="AJ61" s="43"/>
    </row>
    <row r="62" spans="27:36" ht="14.25">
      <c r="AA62" s="58"/>
      <c r="AB62" s="31" t="s">
        <v>17</v>
      </c>
      <c r="AC62" s="32" t="s">
        <v>18</v>
      </c>
      <c r="AD62" s="76" t="s">
        <v>34</v>
      </c>
      <c r="AE62" s="44" t="s">
        <v>37</v>
      </c>
      <c r="AF62" s="120" t="s">
        <v>65</v>
      </c>
      <c r="AG62" s="46" t="s">
        <v>44</v>
      </c>
      <c r="AH62" s="47" t="s">
        <v>38</v>
      </c>
      <c r="AI62" s="47" t="s">
        <v>39</v>
      </c>
      <c r="AJ62" s="47" t="s">
        <v>19</v>
      </c>
    </row>
    <row r="63" spans="27:36" ht="12.75">
      <c r="AA63" s="28" t="s">
        <v>20</v>
      </c>
      <c r="AB63" s="33" t="s">
        <v>21</v>
      </c>
      <c r="AC63" s="34" t="s">
        <v>22</v>
      </c>
      <c r="AD63" s="190" t="s">
        <v>36</v>
      </c>
      <c r="AE63" s="105" t="s">
        <v>23</v>
      </c>
      <c r="AF63" s="121" t="s">
        <v>29</v>
      </c>
      <c r="AG63" s="48" t="s">
        <v>22</v>
      </c>
      <c r="AH63" s="48" t="s">
        <v>24</v>
      </c>
      <c r="AI63" s="48" t="s">
        <v>24</v>
      </c>
      <c r="AJ63" s="48" t="s">
        <v>25</v>
      </c>
    </row>
    <row r="64" spans="27:36" ht="12.75">
      <c r="AA64" s="1"/>
      <c r="AB64" s="35" t="s">
        <v>35</v>
      </c>
      <c r="AC64" s="36" t="s">
        <v>26</v>
      </c>
      <c r="AD64" s="191"/>
      <c r="AE64" s="106" t="s">
        <v>27</v>
      </c>
      <c r="AF64" s="122"/>
      <c r="AG64" s="49" t="s">
        <v>45</v>
      </c>
      <c r="AH64" s="49" t="s">
        <v>28</v>
      </c>
      <c r="AI64" s="49" t="s">
        <v>29</v>
      </c>
      <c r="AJ64" s="49" t="s">
        <v>30</v>
      </c>
    </row>
    <row r="65" spans="27:36" ht="13.5" thickBot="1">
      <c r="AA65" s="59"/>
      <c r="AB65" s="37" t="s">
        <v>31</v>
      </c>
      <c r="AC65" s="38" t="s">
        <v>127</v>
      </c>
      <c r="AD65" s="75" t="s">
        <v>128</v>
      </c>
      <c r="AE65" s="75"/>
      <c r="AF65" s="125" t="s">
        <v>129</v>
      </c>
      <c r="AG65" s="50" t="s">
        <v>46</v>
      </c>
      <c r="AH65" s="50" t="s">
        <v>129</v>
      </c>
      <c r="AI65" s="50" t="s">
        <v>129</v>
      </c>
      <c r="AJ65" s="50" t="s">
        <v>32</v>
      </c>
    </row>
    <row r="66" spans="27:36" ht="13.5" thickTop="1">
      <c r="AA66" s="29">
        <v>1</v>
      </c>
      <c r="AB66" s="39">
        <v>25</v>
      </c>
      <c r="AC66" s="39">
        <f>0.344*POWER(AD66,-0.5478)</f>
        <v>1.9208284340856422E-05</v>
      </c>
      <c r="AD66" s="110">
        <f>AF66*$R$12</f>
        <v>58064400</v>
      </c>
      <c r="AE66" s="51">
        <f>AF66/$R$12</f>
        <v>400</v>
      </c>
      <c r="AF66" s="124">
        <f>$R$11/AB66*$R$12</f>
        <v>152400</v>
      </c>
      <c r="AG66" s="51">
        <f>AC66*AD66</f>
        <v>1115.3175052812237</v>
      </c>
      <c r="AH66" s="111">
        <f>SQRT(AD66/AE66)</f>
        <v>381</v>
      </c>
      <c r="AI66" s="112">
        <f>(AH66*AE66)</f>
        <v>152400</v>
      </c>
      <c r="AJ66" s="55">
        <f>(($AC$2/AH66)+($AC$3/AI66))*100+5</f>
        <v>8.341666666666667</v>
      </c>
    </row>
    <row r="67" spans="27:36" ht="12.75">
      <c r="AA67" s="29">
        <v>2</v>
      </c>
      <c r="AB67" s="39">
        <v>50</v>
      </c>
      <c r="AC67" s="39">
        <f>0.275*POWER(AD67,-0.5478)</f>
        <v>2.2447452376603005E-05</v>
      </c>
      <c r="AD67" s="110">
        <f>AF67*$R$12</f>
        <v>29032200</v>
      </c>
      <c r="AE67" s="51">
        <f>AF67/$R$12</f>
        <v>200</v>
      </c>
      <c r="AF67" s="124">
        <f>$R$11/AB67*$R$12</f>
        <v>76200</v>
      </c>
      <c r="AG67" s="51">
        <f>AC67*AD67</f>
        <v>651.6989268880137</v>
      </c>
      <c r="AH67" s="111">
        <f>SQRT(AD67/AE67)</f>
        <v>381</v>
      </c>
      <c r="AI67" s="112">
        <f>(AH67*AE67)</f>
        <v>76200</v>
      </c>
      <c r="AJ67" s="55">
        <f>(($AC$2/AH67)+($AC$3/AI67))*100+5</f>
        <v>8.35</v>
      </c>
    </row>
    <row r="68" spans="27:36" ht="12.75">
      <c r="AA68" s="29">
        <v>3</v>
      </c>
      <c r="AB68" s="39">
        <v>100</v>
      </c>
      <c r="AC68" s="39">
        <f>0.206*POWER(AD68,-0.5478)</f>
        <v>2.4581354895807794E-05</v>
      </c>
      <c r="AD68" s="110">
        <f>AF68*$R$12</f>
        <v>14516100</v>
      </c>
      <c r="AE68" s="51">
        <f>AF68/$R$12</f>
        <v>100</v>
      </c>
      <c r="AF68" s="124">
        <f>$R$11/AB68*$R$12</f>
        <v>38100</v>
      </c>
      <c r="AG68" s="51">
        <f>AC68*AD68</f>
        <v>356.8254058030355</v>
      </c>
      <c r="AH68" s="111">
        <f>SQRT(AD68/AE68)</f>
        <v>381</v>
      </c>
      <c r="AI68" s="112">
        <f>(AH68*AE68)</f>
        <v>38100</v>
      </c>
      <c r="AJ68" s="55">
        <f>(($AC$2/AH68)+($AC$3/AI68))*100+5</f>
        <v>8.366666666666667</v>
      </c>
    </row>
    <row r="69" spans="27:36" ht="12.75">
      <c r="AA69" s="29">
        <v>4</v>
      </c>
      <c r="AB69" s="39">
        <v>250</v>
      </c>
      <c r="AC69" s="39">
        <f>0.206*POWER(AD69,-0.5478)</f>
        <v>4.0606667912441104E-05</v>
      </c>
      <c r="AD69" s="110">
        <f>AF69*$R$12</f>
        <v>5806440</v>
      </c>
      <c r="AE69" s="51">
        <f>AF69/$R$12</f>
        <v>40</v>
      </c>
      <c r="AF69" s="124">
        <f>$R$11/AB69*$R$12</f>
        <v>15240</v>
      </c>
      <c r="AG69" s="51">
        <f>AC69*AD69</f>
        <v>235.78018083351452</v>
      </c>
      <c r="AH69" s="111">
        <f>SQRT(AD69/AE69)</f>
        <v>381</v>
      </c>
      <c r="AI69" s="112">
        <f>(AH69*AE69)</f>
        <v>15240</v>
      </c>
      <c r="AJ69" s="55">
        <f>(($AC$2/AH69)+($AC$3/AI69))*100+5</f>
        <v>8.416666666666666</v>
      </c>
    </row>
    <row r="70" spans="27:36" ht="12.75">
      <c r="AA70" s="29">
        <v>5</v>
      </c>
      <c r="AB70" s="39">
        <v>1000</v>
      </c>
      <c r="AC70" s="39">
        <f>0.325*POWER(AD70,-0.5478)</f>
        <v>0.00013690583475942157</v>
      </c>
      <c r="AD70" s="110">
        <f>AF70*$R$12</f>
        <v>1451610</v>
      </c>
      <c r="AE70" s="51">
        <f>AF70/$R$12</f>
        <v>10</v>
      </c>
      <c r="AF70" s="124">
        <f>$R$11/AB70*$R$12</f>
        <v>3810</v>
      </c>
      <c r="AG70" s="51">
        <f>AC70*AD70</f>
        <v>198.73387879512396</v>
      </c>
      <c r="AH70" s="111">
        <f>SQRT(AD70/AE70)</f>
        <v>381</v>
      </c>
      <c r="AI70" s="112">
        <f>(AH70*AE70)</f>
        <v>3810</v>
      </c>
      <c r="AJ70" s="55">
        <f>(($AC$2/AH70)+($AC$3/AI70))*100+5</f>
        <v>8.666666666666666</v>
      </c>
    </row>
  </sheetData>
  <sheetProtection password="CADF" sheet="1" objects="1" scenarios="1" selectLockedCells="1"/>
  <mergeCells count="84">
    <mergeCell ref="A4:S4"/>
    <mergeCell ref="F22:H22"/>
    <mergeCell ref="I22:K22"/>
    <mergeCell ref="L22:N22"/>
    <mergeCell ref="O22:Q22"/>
    <mergeCell ref="H14:P14"/>
    <mergeCell ref="O11:P11"/>
    <mergeCell ref="R11:S11"/>
    <mergeCell ref="C11:D11"/>
    <mergeCell ref="C45:D45"/>
    <mergeCell ref="F45:G45"/>
    <mergeCell ref="I45:J45"/>
    <mergeCell ref="L45:M45"/>
    <mergeCell ref="AC1:AD1"/>
    <mergeCell ref="AA3:AB3"/>
    <mergeCell ref="AA2:AB2"/>
    <mergeCell ref="AA1:AB1"/>
    <mergeCell ref="AC2:AD2"/>
    <mergeCell ref="AC3:AD3"/>
    <mergeCell ref="L44:M44"/>
    <mergeCell ref="AD41:AD42"/>
    <mergeCell ref="AD52:AD53"/>
    <mergeCell ref="AD63:AD64"/>
    <mergeCell ref="O43:P43"/>
    <mergeCell ref="R43:S43"/>
    <mergeCell ref="O45:P45"/>
    <mergeCell ref="R45:S45"/>
    <mergeCell ref="F41:G41"/>
    <mergeCell ref="O44:P44"/>
    <mergeCell ref="R44:S44"/>
    <mergeCell ref="C43:D43"/>
    <mergeCell ref="F43:G43"/>
    <mergeCell ref="I43:J43"/>
    <mergeCell ref="L43:M43"/>
    <mergeCell ref="C44:D44"/>
    <mergeCell ref="F44:G44"/>
    <mergeCell ref="I44:J44"/>
    <mergeCell ref="R40:S40"/>
    <mergeCell ref="O41:P41"/>
    <mergeCell ref="R41:S41"/>
    <mergeCell ref="C42:D42"/>
    <mergeCell ref="F42:G42"/>
    <mergeCell ref="I42:J42"/>
    <mergeCell ref="L42:M42"/>
    <mergeCell ref="O42:P42"/>
    <mergeCell ref="R42:S42"/>
    <mergeCell ref="C41:D41"/>
    <mergeCell ref="AD30:AD31"/>
    <mergeCell ref="I41:J41"/>
    <mergeCell ref="L41:M41"/>
    <mergeCell ref="B37:S37"/>
    <mergeCell ref="B38:B39"/>
    <mergeCell ref="C40:D40"/>
    <mergeCell ref="F40:G40"/>
    <mergeCell ref="I40:J40"/>
    <mergeCell ref="L40:M40"/>
    <mergeCell ref="O40:P40"/>
    <mergeCell ref="L12:M12"/>
    <mergeCell ref="AD19:AD20"/>
    <mergeCell ref="B22:B23"/>
    <mergeCell ref="B21:S21"/>
    <mergeCell ref="C22:E22"/>
    <mergeCell ref="R22:T22"/>
    <mergeCell ref="A16:T16"/>
    <mergeCell ref="A3:S3"/>
    <mergeCell ref="A2:T2"/>
    <mergeCell ref="F11:G11"/>
    <mergeCell ref="O12:P12"/>
    <mergeCell ref="R12:S12"/>
    <mergeCell ref="C12:D12"/>
    <mergeCell ref="F12:G12"/>
    <mergeCell ref="I11:J11"/>
    <mergeCell ref="L11:M11"/>
    <mergeCell ref="I12:J12"/>
    <mergeCell ref="AD8:AD9"/>
    <mergeCell ref="B9:S9"/>
    <mergeCell ref="I10:J10"/>
    <mergeCell ref="L10:M10"/>
    <mergeCell ref="A1:T1"/>
    <mergeCell ref="B7:C7"/>
    <mergeCell ref="O10:P10"/>
    <mergeCell ref="R10:S10"/>
    <mergeCell ref="C10:D10"/>
    <mergeCell ref="F10:G10"/>
  </mergeCells>
  <printOptions/>
  <pageMargins left="0.75" right="0.75" top="1" bottom="1" header="0.5" footer="0.5"/>
  <pageSetup fitToWidth="2" fitToHeight="1" horizontalDpi="600" verticalDpi="600" orientation="landscape" scale="79" r:id="rId2"/>
  <drawing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AJ70"/>
  <sheetViews>
    <sheetView showGridLines="0" zoomScalePageLayoutView="0" workbookViewId="0" topLeftCell="A1">
      <selection activeCell="C11" sqref="C11:D11"/>
    </sheetView>
  </sheetViews>
  <sheetFormatPr defaultColWidth="9.140625" defaultRowHeight="12.75"/>
  <cols>
    <col min="1" max="1" width="2.140625" style="0" customWidth="1"/>
    <col min="2" max="2" width="23.8515625" style="0" customWidth="1"/>
    <col min="3" max="4" width="9.7109375" style="0" customWidth="1"/>
    <col min="5" max="5" width="4.7109375" style="0" customWidth="1"/>
    <col min="6" max="7" width="9.7109375" style="0" customWidth="1"/>
    <col min="8" max="8" width="4.7109375" style="0" customWidth="1"/>
    <col min="9" max="10" width="9.7109375" style="0" customWidth="1"/>
    <col min="11" max="11" width="4.7109375" style="0" customWidth="1"/>
    <col min="12" max="13" width="9.7109375" style="0" customWidth="1"/>
    <col min="14" max="14" width="4.7109375" style="0" customWidth="1"/>
    <col min="15" max="16" width="9.7109375" style="0" customWidth="1"/>
    <col min="17" max="17" width="4.7109375" style="0" customWidth="1"/>
    <col min="18" max="19" width="9.7109375" style="0" customWidth="1"/>
    <col min="20" max="20" width="4.7109375" style="0" customWidth="1"/>
    <col min="21" max="25" width="1.57421875" style="0" customWidth="1"/>
    <col min="26" max="26" width="56.8515625" style="0" customWidth="1"/>
    <col min="27" max="27" width="10.28125" style="0" customWidth="1"/>
    <col min="28" max="28" width="10.8515625" style="0" bestFit="1" customWidth="1"/>
    <col min="30" max="30" width="9.140625" style="113" customWidth="1"/>
    <col min="32" max="32" width="9.140625" style="113" customWidth="1"/>
    <col min="33" max="33" width="10.140625" style="0" bestFit="1" customWidth="1"/>
    <col min="35" max="35" width="9.140625" style="113" customWidth="1"/>
  </cols>
  <sheetData>
    <row r="1" spans="1:30" ht="16.5" thickBot="1">
      <c r="A1" s="139" t="s">
        <v>100</v>
      </c>
      <c r="B1" s="139"/>
      <c r="C1" s="139"/>
      <c r="D1" s="139"/>
      <c r="E1" s="139"/>
      <c r="F1" s="139"/>
      <c r="G1" s="139"/>
      <c r="H1" s="139"/>
      <c r="I1" s="139"/>
      <c r="J1" s="139"/>
      <c r="K1" s="139"/>
      <c r="L1" s="139"/>
      <c r="M1" s="139"/>
      <c r="N1" s="139"/>
      <c r="O1" s="139"/>
      <c r="P1" s="139"/>
      <c r="Q1" s="139"/>
      <c r="R1" s="139"/>
      <c r="S1" s="139"/>
      <c r="T1" s="139"/>
      <c r="AA1" s="193"/>
      <c r="AB1" s="193"/>
      <c r="AC1" s="146" t="s">
        <v>130</v>
      </c>
      <c r="AD1" s="147"/>
    </row>
    <row r="2" spans="1:30" ht="15.75">
      <c r="A2" s="145" t="s">
        <v>123</v>
      </c>
      <c r="B2" s="145"/>
      <c r="C2" s="145"/>
      <c r="D2" s="145"/>
      <c r="E2" s="145"/>
      <c r="F2" s="145"/>
      <c r="G2" s="145"/>
      <c r="H2" s="145"/>
      <c r="I2" s="145"/>
      <c r="J2" s="145"/>
      <c r="K2" s="145"/>
      <c r="L2" s="145"/>
      <c r="M2" s="145"/>
      <c r="N2" s="145"/>
      <c r="O2" s="145"/>
      <c r="P2" s="145"/>
      <c r="Q2" s="145"/>
      <c r="R2" s="145"/>
      <c r="S2" s="145"/>
      <c r="T2" s="145"/>
      <c r="U2" s="108"/>
      <c r="AA2" s="192" t="s">
        <v>105</v>
      </c>
      <c r="AB2" s="192"/>
      <c r="AC2" s="194">
        <v>12.7</v>
      </c>
      <c r="AD2" s="195"/>
    </row>
    <row r="3" spans="1:30" ht="15.75">
      <c r="A3" s="145" t="s">
        <v>144</v>
      </c>
      <c r="B3" s="145"/>
      <c r="C3" s="145"/>
      <c r="D3" s="145"/>
      <c r="E3" s="145"/>
      <c r="F3" s="145"/>
      <c r="G3" s="145"/>
      <c r="H3" s="145"/>
      <c r="I3" s="145"/>
      <c r="J3" s="145"/>
      <c r="K3" s="145"/>
      <c r="L3" s="145"/>
      <c r="M3" s="145"/>
      <c r="N3" s="145"/>
      <c r="O3" s="145"/>
      <c r="P3" s="145"/>
      <c r="Q3" s="145"/>
      <c r="R3" s="145"/>
      <c r="S3" s="145"/>
      <c r="T3" s="77"/>
      <c r="U3" s="77"/>
      <c r="AA3" s="192" t="s">
        <v>106</v>
      </c>
      <c r="AB3" s="192"/>
      <c r="AC3" s="196">
        <v>12.7</v>
      </c>
      <c r="AD3" s="197"/>
    </row>
    <row r="4" spans="1:19" ht="13.5" thickBot="1">
      <c r="A4" s="144" t="s">
        <v>110</v>
      </c>
      <c r="B4" s="144"/>
      <c r="C4" s="144"/>
      <c r="D4" s="144"/>
      <c r="E4" s="144"/>
      <c r="F4" s="144"/>
      <c r="G4" s="144"/>
      <c r="H4" s="144"/>
      <c r="I4" s="144"/>
      <c r="J4" s="144"/>
      <c r="K4" s="144"/>
      <c r="L4" s="144"/>
      <c r="M4" s="144"/>
      <c r="N4" s="144"/>
      <c r="O4" s="144"/>
      <c r="P4" s="144"/>
      <c r="Q4" s="144"/>
      <c r="R4" s="144"/>
      <c r="S4" s="144"/>
    </row>
    <row r="5" spans="27:36" ht="13.5" thickBot="1">
      <c r="AA5" s="56" t="s">
        <v>0</v>
      </c>
      <c r="AB5" s="2"/>
      <c r="AC5" s="2"/>
      <c r="AD5" s="114"/>
      <c r="AE5" s="2"/>
      <c r="AH5" s="2"/>
      <c r="AI5" s="114"/>
      <c r="AJ5" s="2"/>
    </row>
    <row r="6" spans="2:36" ht="12.75">
      <c r="B6" t="s">
        <v>63</v>
      </c>
      <c r="AA6" s="27"/>
      <c r="AB6" s="30"/>
      <c r="AC6" s="30"/>
      <c r="AD6" s="126"/>
      <c r="AE6" s="40"/>
      <c r="AF6" s="119"/>
      <c r="AG6" s="42"/>
      <c r="AH6" s="40"/>
      <c r="AI6" s="129"/>
      <c r="AJ6" s="43"/>
    </row>
    <row r="7" spans="2:36" ht="14.25">
      <c r="B7" s="174" t="s">
        <v>140</v>
      </c>
      <c r="C7" s="174"/>
      <c r="AA7" s="58"/>
      <c r="AB7" s="31" t="s">
        <v>33</v>
      </c>
      <c r="AC7" s="32" t="s">
        <v>18</v>
      </c>
      <c r="AD7" s="127" t="s">
        <v>34</v>
      </c>
      <c r="AE7" s="44" t="s">
        <v>37</v>
      </c>
      <c r="AF7" s="120" t="s">
        <v>78</v>
      </c>
      <c r="AG7" s="46" t="s">
        <v>44</v>
      </c>
      <c r="AH7" s="47" t="s">
        <v>38</v>
      </c>
      <c r="AI7" s="131" t="s">
        <v>39</v>
      </c>
      <c r="AJ7" s="47" t="s">
        <v>19</v>
      </c>
    </row>
    <row r="8" spans="27:36" ht="12.75">
      <c r="AA8" s="28" t="s">
        <v>20</v>
      </c>
      <c r="AB8" s="33" t="s">
        <v>21</v>
      </c>
      <c r="AC8" s="34" t="s">
        <v>22</v>
      </c>
      <c r="AD8" s="200" t="s">
        <v>36</v>
      </c>
      <c r="AE8" s="48" t="s">
        <v>23</v>
      </c>
      <c r="AF8" s="121" t="s">
        <v>28</v>
      </c>
      <c r="AG8" s="48" t="s">
        <v>22</v>
      </c>
      <c r="AH8" s="48" t="s">
        <v>24</v>
      </c>
      <c r="AI8" s="121" t="s">
        <v>24</v>
      </c>
      <c r="AJ8" s="48" t="s">
        <v>25</v>
      </c>
    </row>
    <row r="9" spans="2:36" ht="12.75">
      <c r="B9" s="142" t="s">
        <v>6</v>
      </c>
      <c r="C9" s="143"/>
      <c r="D9" s="143"/>
      <c r="E9" s="142"/>
      <c r="F9" s="142"/>
      <c r="G9" s="142"/>
      <c r="H9" s="142"/>
      <c r="I9" s="142"/>
      <c r="J9" s="142"/>
      <c r="K9" s="142"/>
      <c r="L9" s="142"/>
      <c r="M9" s="142"/>
      <c r="N9" s="142"/>
      <c r="O9" s="142"/>
      <c r="P9" s="142"/>
      <c r="Q9" s="142"/>
      <c r="R9" s="142"/>
      <c r="S9" s="142"/>
      <c r="AA9" s="1"/>
      <c r="AB9" s="35" t="s">
        <v>35</v>
      </c>
      <c r="AC9" s="36" t="s">
        <v>26</v>
      </c>
      <c r="AD9" s="201"/>
      <c r="AE9" s="49" t="s">
        <v>27</v>
      </c>
      <c r="AF9" s="122"/>
      <c r="AG9" s="49" t="s">
        <v>45</v>
      </c>
      <c r="AH9" s="49" t="s">
        <v>28</v>
      </c>
      <c r="AI9" s="122" t="s">
        <v>29</v>
      </c>
      <c r="AJ9" s="49" t="s">
        <v>30</v>
      </c>
    </row>
    <row r="10" spans="2:36" ht="15" thickBot="1">
      <c r="B10" s="15"/>
      <c r="C10" s="146" t="s">
        <v>9</v>
      </c>
      <c r="D10" s="147"/>
      <c r="E10" s="6"/>
      <c r="F10" s="148" t="s">
        <v>10</v>
      </c>
      <c r="G10" s="149"/>
      <c r="H10" s="4"/>
      <c r="I10" s="146" t="s">
        <v>11</v>
      </c>
      <c r="J10" s="147"/>
      <c r="K10" s="4"/>
      <c r="L10" s="148" t="s">
        <v>12</v>
      </c>
      <c r="M10" s="149"/>
      <c r="N10" s="4"/>
      <c r="O10" s="146" t="s">
        <v>13</v>
      </c>
      <c r="P10" s="147"/>
      <c r="Q10" s="4"/>
      <c r="R10" s="148" t="s">
        <v>14</v>
      </c>
      <c r="S10" s="149"/>
      <c r="AA10" s="59"/>
      <c r="AB10" s="37" t="s">
        <v>31</v>
      </c>
      <c r="AC10" s="38" t="s">
        <v>127</v>
      </c>
      <c r="AD10" s="128" t="s">
        <v>128</v>
      </c>
      <c r="AE10" s="50"/>
      <c r="AF10" s="125" t="s">
        <v>129</v>
      </c>
      <c r="AG10" s="50" t="s">
        <v>46</v>
      </c>
      <c r="AH10" s="50" t="s">
        <v>129</v>
      </c>
      <c r="AI10" s="125" t="s">
        <v>129</v>
      </c>
      <c r="AJ10" s="50" t="s">
        <v>32</v>
      </c>
    </row>
    <row r="11" spans="2:36" ht="12.75">
      <c r="B11" s="12" t="s">
        <v>64</v>
      </c>
      <c r="C11" s="152">
        <v>100</v>
      </c>
      <c r="D11" s="153"/>
      <c r="E11" s="3"/>
      <c r="F11" s="154">
        <v>250</v>
      </c>
      <c r="G11" s="155"/>
      <c r="H11" s="5"/>
      <c r="I11" s="152">
        <v>500</v>
      </c>
      <c r="J11" s="153"/>
      <c r="K11" s="5"/>
      <c r="L11" s="154">
        <v>1000</v>
      </c>
      <c r="M11" s="155"/>
      <c r="N11" s="5"/>
      <c r="O11" s="152">
        <v>2500</v>
      </c>
      <c r="P11" s="153"/>
      <c r="Q11" s="5"/>
      <c r="R11" s="154">
        <v>5000</v>
      </c>
      <c r="S11" s="155"/>
      <c r="AA11" s="29">
        <v>1</v>
      </c>
      <c r="AB11" s="39">
        <v>25</v>
      </c>
      <c r="AC11" s="39">
        <f>0.344*POWER(AD11,-0.5478)</f>
        <v>0.0002923072244157513</v>
      </c>
      <c r="AD11" s="110">
        <f>AF11*$C$12</f>
        <v>403225</v>
      </c>
      <c r="AE11" s="51">
        <f>$C$12/AF11</f>
        <v>4</v>
      </c>
      <c r="AF11" s="124">
        <f>AB11/$C$11*$C$12</f>
        <v>317.5</v>
      </c>
      <c r="AG11" s="51">
        <f>AC11*AD11</f>
        <v>117.86558056504131</v>
      </c>
      <c r="AH11" s="53">
        <f>SQRT(AD11/AE11)</f>
        <v>317.5</v>
      </c>
      <c r="AI11" s="112">
        <f>(AH11*AE11)</f>
        <v>1270</v>
      </c>
      <c r="AJ11" s="55">
        <f>(($AC$2/AH11)+($AC$3/AI11))*100+5</f>
        <v>10</v>
      </c>
    </row>
    <row r="12" spans="2:36" ht="12.75">
      <c r="B12" s="12" t="s">
        <v>136</v>
      </c>
      <c r="C12" s="165">
        <v>1270</v>
      </c>
      <c r="D12" s="166"/>
      <c r="E12" s="3"/>
      <c r="F12" s="150">
        <v>1270</v>
      </c>
      <c r="G12" s="151"/>
      <c r="H12" s="5"/>
      <c r="I12" s="165">
        <v>1270</v>
      </c>
      <c r="J12" s="166"/>
      <c r="K12" s="5"/>
      <c r="L12" s="150">
        <v>1270</v>
      </c>
      <c r="M12" s="151"/>
      <c r="N12" s="5"/>
      <c r="O12" s="165">
        <v>1270</v>
      </c>
      <c r="P12" s="166"/>
      <c r="Q12" s="5"/>
      <c r="R12" s="150">
        <v>1270</v>
      </c>
      <c r="S12" s="151"/>
      <c r="AA12" s="29">
        <v>2</v>
      </c>
      <c r="AB12" s="39">
        <v>50</v>
      </c>
      <c r="AC12" s="39">
        <f>0.275*POWER(AD12,-0.5478)</f>
        <v>0.0001598488693602178</v>
      </c>
      <c r="AD12" s="110">
        <f>AF12*$C$12</f>
        <v>806450</v>
      </c>
      <c r="AE12" s="51">
        <f>$C$12/AF12</f>
        <v>2</v>
      </c>
      <c r="AF12" s="124">
        <f>AB12/$C$11*$C$12</f>
        <v>635</v>
      </c>
      <c r="AG12" s="51">
        <f>AC12*AD12</f>
        <v>128.91012069554765</v>
      </c>
      <c r="AH12" s="53">
        <f>SQRT(AD12/AE12)</f>
        <v>635</v>
      </c>
      <c r="AI12" s="112">
        <f>(AH12*AE12)</f>
        <v>1270</v>
      </c>
      <c r="AJ12" s="55">
        <f>(($AC$2/AH12)+($AC$3/AI12))*100+5</f>
        <v>8</v>
      </c>
    </row>
    <row r="13" spans="27:36" ht="12.75">
      <c r="AA13" s="29">
        <v>3</v>
      </c>
      <c r="AB13" s="39">
        <v>100</v>
      </c>
      <c r="AC13" s="39">
        <f>0.206*POWER(AD13,-0.5478)</f>
        <v>8.191055407681849E-05</v>
      </c>
      <c r="AD13" s="110">
        <f>AF13*$C$12</f>
        <v>1612900</v>
      </c>
      <c r="AE13" s="51">
        <f>$C$12/AF13</f>
        <v>1</v>
      </c>
      <c r="AF13" s="124">
        <f>AB13/$C$11*$C$12</f>
        <v>1270</v>
      </c>
      <c r="AG13" s="51">
        <f>AC13*AD13</f>
        <v>132.11353267050055</v>
      </c>
      <c r="AH13" s="53">
        <f>SQRT(AD13/AE13)</f>
        <v>1270</v>
      </c>
      <c r="AI13" s="112">
        <f>(AH13*AE13)</f>
        <v>1270</v>
      </c>
      <c r="AJ13" s="55">
        <f>(($AC$2/AH13)+($AC$3/AI13))*100+5</f>
        <v>7</v>
      </c>
    </row>
    <row r="14" spans="8:36" ht="12.75">
      <c r="H14" s="172"/>
      <c r="I14" s="172"/>
      <c r="J14" s="172"/>
      <c r="K14" s="172"/>
      <c r="L14" s="172"/>
      <c r="M14" s="172"/>
      <c r="N14" s="172"/>
      <c r="O14" s="172"/>
      <c r="P14" s="172"/>
      <c r="S14" s="26"/>
      <c r="AA14" s="29">
        <v>4</v>
      </c>
      <c r="AB14" s="39">
        <v>250</v>
      </c>
      <c r="AC14" s="39">
        <f>0.206*POWER(AD14,-0.5478)</f>
        <v>4.9584772722945924E-05</v>
      </c>
      <c r="AD14" s="110">
        <f>AF14*$C$12</f>
        <v>4032250</v>
      </c>
      <c r="AE14" s="51">
        <f>$C$12/AF14</f>
        <v>0.4</v>
      </c>
      <c r="AF14" s="124">
        <f>AB14/$C$11*$C$12</f>
        <v>3175</v>
      </c>
      <c r="AG14" s="51">
        <f>AC14*AD14</f>
        <v>199.9381998120987</v>
      </c>
      <c r="AH14" s="53">
        <f>SQRT(AD14/AE14)</f>
        <v>3175</v>
      </c>
      <c r="AI14" s="112">
        <f>(AH14*AE14)</f>
        <v>1270</v>
      </c>
      <c r="AJ14" s="55">
        <f>(($AC$2/AH14)+($AC$3/AI14))*100+5</f>
        <v>6.4</v>
      </c>
    </row>
    <row r="15" spans="18:36" ht="13.5" thickBot="1">
      <c r="R15" s="25"/>
      <c r="S15" s="25"/>
      <c r="AA15" s="29">
        <v>5</v>
      </c>
      <c r="AB15" s="39">
        <v>1000</v>
      </c>
      <c r="AC15" s="39">
        <f>0.325*POWER(AD15,-0.5478)</f>
        <v>3.6606314306456216E-05</v>
      </c>
      <c r="AD15" s="110">
        <f>AF15*$C$12</f>
        <v>16129000</v>
      </c>
      <c r="AE15" s="51">
        <f>$C$12/AF15</f>
        <v>0.1</v>
      </c>
      <c r="AF15" s="124">
        <f>AB15/$C$11*$C$12</f>
        <v>12700</v>
      </c>
      <c r="AG15" s="51">
        <f>AC15*AD15</f>
        <v>590.4232434488323</v>
      </c>
      <c r="AH15" s="53">
        <f>SQRT(AD15/AE15)</f>
        <v>12700</v>
      </c>
      <c r="AI15" s="112">
        <f>(AH15*AE15)</f>
        <v>1270</v>
      </c>
      <c r="AJ15" s="55">
        <f>(($AC$2/AH15)+($AC$3/AI15))*100+5</f>
        <v>6.1</v>
      </c>
    </row>
    <row r="16" spans="1:36" ht="13.5" thickBot="1">
      <c r="A16" s="144" t="s">
        <v>141</v>
      </c>
      <c r="B16" s="144"/>
      <c r="C16" s="144"/>
      <c r="D16" s="144"/>
      <c r="E16" s="144"/>
      <c r="F16" s="144"/>
      <c r="G16" s="144"/>
      <c r="H16" s="144"/>
      <c r="I16" s="144"/>
      <c r="J16" s="144"/>
      <c r="K16" s="144"/>
      <c r="L16" s="144"/>
      <c r="M16" s="144"/>
      <c r="N16" s="144"/>
      <c r="O16" s="144"/>
      <c r="P16" s="144"/>
      <c r="Q16" s="144"/>
      <c r="R16" s="144"/>
      <c r="S16" s="144"/>
      <c r="T16" s="144"/>
      <c r="U16" s="109"/>
      <c r="AA16" s="57" t="s">
        <v>1</v>
      </c>
      <c r="AB16" s="2"/>
      <c r="AC16" s="2"/>
      <c r="AD16" s="114"/>
      <c r="AE16" s="103"/>
      <c r="AH16" s="2"/>
      <c r="AI16" s="114"/>
      <c r="AJ16" s="2"/>
    </row>
    <row r="17" spans="27:36" ht="12.75">
      <c r="AA17" s="27"/>
      <c r="AB17" s="30"/>
      <c r="AC17" s="30"/>
      <c r="AD17" s="129"/>
      <c r="AE17" s="104"/>
      <c r="AF17" s="119"/>
      <c r="AG17" s="42"/>
      <c r="AH17" s="40"/>
      <c r="AI17" s="129"/>
      <c r="AJ17" s="43"/>
    </row>
    <row r="18" spans="2:36" ht="14.25">
      <c r="B18" t="s">
        <v>122</v>
      </c>
      <c r="AA18" s="58"/>
      <c r="AB18" s="31" t="s">
        <v>33</v>
      </c>
      <c r="AC18" s="32" t="s">
        <v>18</v>
      </c>
      <c r="AD18" s="130" t="s">
        <v>34</v>
      </c>
      <c r="AE18" s="44" t="s">
        <v>37</v>
      </c>
      <c r="AF18" s="120" t="s">
        <v>78</v>
      </c>
      <c r="AG18" s="46" t="s">
        <v>44</v>
      </c>
      <c r="AH18" s="47" t="s">
        <v>38</v>
      </c>
      <c r="AI18" s="131" t="s">
        <v>39</v>
      </c>
      <c r="AJ18" s="47" t="s">
        <v>19</v>
      </c>
    </row>
    <row r="19" spans="2:36" ht="12.75">
      <c r="B19" s="73" t="s">
        <v>62</v>
      </c>
      <c r="C19" s="73"/>
      <c r="AA19" s="28" t="s">
        <v>20</v>
      </c>
      <c r="AB19" s="33" t="s">
        <v>21</v>
      </c>
      <c r="AC19" s="34" t="s">
        <v>22</v>
      </c>
      <c r="AD19" s="198" t="s">
        <v>36</v>
      </c>
      <c r="AE19" s="105" t="s">
        <v>23</v>
      </c>
      <c r="AF19" s="121" t="s">
        <v>28</v>
      </c>
      <c r="AG19" s="48" t="s">
        <v>22</v>
      </c>
      <c r="AH19" s="48" t="s">
        <v>24</v>
      </c>
      <c r="AI19" s="121" t="s">
        <v>24</v>
      </c>
      <c r="AJ19" s="48" t="s">
        <v>25</v>
      </c>
    </row>
    <row r="20" spans="27:36" ht="12.75">
      <c r="AA20" s="1"/>
      <c r="AB20" s="35" t="s">
        <v>35</v>
      </c>
      <c r="AC20" s="36" t="s">
        <v>26</v>
      </c>
      <c r="AD20" s="199"/>
      <c r="AE20" s="106" t="s">
        <v>27</v>
      </c>
      <c r="AF20" s="122"/>
      <c r="AG20" s="49" t="s">
        <v>45</v>
      </c>
      <c r="AH20" s="49" t="s">
        <v>28</v>
      </c>
      <c r="AI20" s="122" t="s">
        <v>29</v>
      </c>
      <c r="AJ20" s="49" t="s">
        <v>30</v>
      </c>
    </row>
    <row r="21" spans="2:36" ht="13.5" thickBot="1">
      <c r="B21" s="142" t="s">
        <v>8</v>
      </c>
      <c r="C21" s="142"/>
      <c r="D21" s="142"/>
      <c r="E21" s="142"/>
      <c r="F21" s="142"/>
      <c r="G21" s="142"/>
      <c r="H21" s="142"/>
      <c r="I21" s="142"/>
      <c r="J21" s="142"/>
      <c r="K21" s="142"/>
      <c r="L21" s="142"/>
      <c r="M21" s="142"/>
      <c r="N21" s="142"/>
      <c r="O21" s="142"/>
      <c r="P21" s="142"/>
      <c r="Q21" s="142"/>
      <c r="R21" s="142"/>
      <c r="S21" s="142"/>
      <c r="AA21" s="59"/>
      <c r="AB21" s="37" t="s">
        <v>31</v>
      </c>
      <c r="AC21" s="38" t="s">
        <v>127</v>
      </c>
      <c r="AD21" s="128" t="s">
        <v>128</v>
      </c>
      <c r="AE21" s="75"/>
      <c r="AF21" s="125" t="s">
        <v>129</v>
      </c>
      <c r="AG21" s="50" t="s">
        <v>46</v>
      </c>
      <c r="AH21" s="50" t="s">
        <v>129</v>
      </c>
      <c r="AI21" s="125" t="s">
        <v>129</v>
      </c>
      <c r="AJ21" s="50" t="s">
        <v>32</v>
      </c>
    </row>
    <row r="22" spans="2:36" ht="15" thickTop="1">
      <c r="B22" s="168" t="s">
        <v>7</v>
      </c>
      <c r="C22" s="158" t="s">
        <v>9</v>
      </c>
      <c r="D22" s="187"/>
      <c r="E22" s="159"/>
      <c r="F22" s="156" t="s">
        <v>10</v>
      </c>
      <c r="G22" s="186"/>
      <c r="H22" s="157"/>
      <c r="I22" s="158" t="s">
        <v>11</v>
      </c>
      <c r="J22" s="187"/>
      <c r="K22" s="159"/>
      <c r="L22" s="156" t="s">
        <v>12</v>
      </c>
      <c r="M22" s="186"/>
      <c r="N22" s="157"/>
      <c r="O22" s="158" t="s">
        <v>13</v>
      </c>
      <c r="P22" s="187"/>
      <c r="Q22" s="159"/>
      <c r="R22" s="156" t="s">
        <v>14</v>
      </c>
      <c r="S22" s="186"/>
      <c r="T22" s="157"/>
      <c r="AA22" s="29">
        <v>1</v>
      </c>
      <c r="AB22" s="39">
        <v>25</v>
      </c>
      <c r="AC22" s="39">
        <f>0.344*POWER(AD22,-0.5478)</f>
        <v>0.0004828709581131388</v>
      </c>
      <c r="AD22" s="110">
        <f>AF22*$F$12</f>
        <v>161290</v>
      </c>
      <c r="AE22" s="51">
        <f>$F$12/AF22</f>
        <v>10</v>
      </c>
      <c r="AF22" s="124">
        <f>AB22/$F$11*$F$12</f>
        <v>127</v>
      </c>
      <c r="AG22" s="51">
        <f>AC22*AD22</f>
        <v>77.88225683406816</v>
      </c>
      <c r="AH22" s="53">
        <f>SQRT(AD22/AE22)</f>
        <v>127</v>
      </c>
      <c r="AI22" s="112">
        <f>(AH22*AE22)</f>
        <v>1270</v>
      </c>
      <c r="AJ22" s="55">
        <f>(($AC$2/AH22)+($AC$3/AI22))*100+5</f>
        <v>15.999999999999998</v>
      </c>
    </row>
    <row r="23" spans="2:36" ht="14.25">
      <c r="B23" s="169"/>
      <c r="C23" s="10" t="s">
        <v>72</v>
      </c>
      <c r="D23" s="10" t="s">
        <v>48</v>
      </c>
      <c r="E23" s="98" t="s">
        <v>111</v>
      </c>
      <c r="F23" s="11" t="s">
        <v>73</v>
      </c>
      <c r="G23" s="11" t="s">
        <v>52</v>
      </c>
      <c r="H23" s="100" t="s">
        <v>116</v>
      </c>
      <c r="I23" s="10" t="s">
        <v>74</v>
      </c>
      <c r="J23" s="10" t="s">
        <v>54</v>
      </c>
      <c r="K23" s="98" t="s">
        <v>117</v>
      </c>
      <c r="L23" s="11" t="s">
        <v>75</v>
      </c>
      <c r="M23" s="11" t="s">
        <v>56</v>
      </c>
      <c r="N23" s="100" t="s">
        <v>118</v>
      </c>
      <c r="O23" s="10" t="s">
        <v>76</v>
      </c>
      <c r="P23" s="10" t="s">
        <v>58</v>
      </c>
      <c r="Q23" s="98" t="s">
        <v>119</v>
      </c>
      <c r="R23" s="11" t="s">
        <v>77</v>
      </c>
      <c r="S23" s="11" t="s">
        <v>60</v>
      </c>
      <c r="T23" s="100" t="s">
        <v>120</v>
      </c>
      <c r="AA23" s="29">
        <v>2</v>
      </c>
      <c r="AB23" s="39">
        <v>50</v>
      </c>
      <c r="AC23" s="39">
        <f>0.275*POWER(AD23,-0.5478)</f>
        <v>0.0002640590798107934</v>
      </c>
      <c r="AD23" s="110">
        <f>AF23*$F$12</f>
        <v>322580</v>
      </c>
      <c r="AE23" s="51">
        <f>$F$12/AF23</f>
        <v>5</v>
      </c>
      <c r="AF23" s="124">
        <f>AB23/$F$11*$F$12</f>
        <v>254</v>
      </c>
      <c r="AG23" s="51">
        <f>AC23*AD23</f>
        <v>85.18017796536574</v>
      </c>
      <c r="AH23" s="53">
        <f>SQRT(AD23/AE23)</f>
        <v>254</v>
      </c>
      <c r="AI23" s="112">
        <f>(AH23*AE23)</f>
        <v>1270</v>
      </c>
      <c r="AJ23" s="55">
        <f>(($AC$2/AH23)+($AC$3/AI23))*100+5</f>
        <v>11</v>
      </c>
    </row>
    <row r="24" spans="2:36" ht="14.25" customHeight="1" thickBot="1">
      <c r="B24" s="13" t="s">
        <v>101</v>
      </c>
      <c r="C24" s="71" t="s">
        <v>129</v>
      </c>
      <c r="D24" s="69" t="s">
        <v>49</v>
      </c>
      <c r="E24" s="102" t="s">
        <v>112</v>
      </c>
      <c r="F24" s="72" t="s">
        <v>129</v>
      </c>
      <c r="G24" s="70" t="s">
        <v>49</v>
      </c>
      <c r="H24" s="101" t="s">
        <v>112</v>
      </c>
      <c r="I24" s="71" t="s">
        <v>129</v>
      </c>
      <c r="J24" s="69" t="s">
        <v>49</v>
      </c>
      <c r="K24" s="102" t="s">
        <v>112</v>
      </c>
      <c r="L24" s="72" t="s">
        <v>129</v>
      </c>
      <c r="M24" s="70" t="s">
        <v>49</v>
      </c>
      <c r="N24" s="101" t="s">
        <v>112</v>
      </c>
      <c r="O24" s="71" t="s">
        <v>129</v>
      </c>
      <c r="P24" s="69" t="s">
        <v>49</v>
      </c>
      <c r="Q24" s="102" t="s">
        <v>112</v>
      </c>
      <c r="R24" s="72" t="s">
        <v>129</v>
      </c>
      <c r="S24" s="70" t="s">
        <v>49</v>
      </c>
      <c r="T24" s="101" t="s">
        <v>112</v>
      </c>
      <c r="AA24" s="29">
        <v>3</v>
      </c>
      <c r="AB24" s="39">
        <v>100</v>
      </c>
      <c r="AC24" s="39">
        <f>0.206*POWER(AD24,-0.5478)</f>
        <v>0.00013531046933823272</v>
      </c>
      <c r="AD24" s="110">
        <f>AF24*$F$12</f>
        <v>645160</v>
      </c>
      <c r="AE24" s="51">
        <f>$F$12/AF24</f>
        <v>2.5</v>
      </c>
      <c r="AF24" s="124">
        <f>AB24/$F$11*$F$12</f>
        <v>508</v>
      </c>
      <c r="AG24" s="51">
        <f>AC24*AD24</f>
        <v>87.29690239825422</v>
      </c>
      <c r="AH24" s="53">
        <f>SQRT(AD24/AE24)</f>
        <v>508</v>
      </c>
      <c r="AI24" s="112">
        <f>(AH24*AE24)</f>
        <v>1270</v>
      </c>
      <c r="AJ24" s="55">
        <f>(($AC$2/AH24)+($AC$3/AI24))*100+5</f>
        <v>8.5</v>
      </c>
    </row>
    <row r="25" spans="2:36" ht="12.75">
      <c r="B25" s="14">
        <v>25</v>
      </c>
      <c r="C25" s="60">
        <f aca="true" t="shared" si="0" ref="C25:D28">AF11</f>
        <v>317.5</v>
      </c>
      <c r="D25" s="60">
        <f t="shared" si="0"/>
        <v>117.86558056504131</v>
      </c>
      <c r="E25" s="60">
        <f>AJ11</f>
        <v>10</v>
      </c>
      <c r="F25" s="62">
        <f aca="true" t="shared" si="1" ref="F25:G28">AF22</f>
        <v>127</v>
      </c>
      <c r="G25" s="62">
        <f t="shared" si="1"/>
        <v>77.88225683406816</v>
      </c>
      <c r="H25" s="85">
        <f>AJ22</f>
        <v>15.999999999999998</v>
      </c>
      <c r="I25" s="60">
        <f aca="true" t="shared" si="2" ref="I25:J28">AF33</f>
        <v>63.5</v>
      </c>
      <c r="J25" s="60">
        <f t="shared" si="2"/>
        <v>56.926274646839296</v>
      </c>
      <c r="K25" s="60">
        <f>AJ33</f>
        <v>26</v>
      </c>
      <c r="L25" s="62">
        <f aca="true" t="shared" si="3" ref="L25:M28">AF44</f>
        <v>31.75</v>
      </c>
      <c r="M25" s="62">
        <f t="shared" si="3"/>
        <v>41.60897330019127</v>
      </c>
      <c r="N25" s="85">
        <f>AJ44</f>
        <v>46</v>
      </c>
      <c r="O25" s="60">
        <f aca="true" t="shared" si="4" ref="O25:P28">AF55</f>
        <v>12.700000000000001</v>
      </c>
      <c r="P25" s="60">
        <f t="shared" si="4"/>
        <v>27.49403795096172</v>
      </c>
      <c r="Q25" s="60">
        <f>AJ55</f>
        <v>105.99999999999997</v>
      </c>
      <c r="R25" s="62">
        <f aca="true" t="shared" si="5" ref="R25:S28">AF66</f>
        <v>6.3500000000000005</v>
      </c>
      <c r="S25" s="62">
        <f t="shared" si="5"/>
        <v>20.096145375982896</v>
      </c>
      <c r="T25" s="85">
        <f>AJ66</f>
        <v>205.99999999999997</v>
      </c>
      <c r="AA25" s="29">
        <v>4</v>
      </c>
      <c r="AB25" s="39">
        <v>250</v>
      </c>
      <c r="AC25" s="39">
        <f>0.206*POWER(AD25,-0.5478)</f>
        <v>8.191055407681849E-05</v>
      </c>
      <c r="AD25" s="110">
        <f>AF25*$F$12</f>
        <v>1612900</v>
      </c>
      <c r="AE25" s="51">
        <f>$F$12/AF25</f>
        <v>1</v>
      </c>
      <c r="AF25" s="124">
        <f>AB25/$F$11*$F$12</f>
        <v>1270</v>
      </c>
      <c r="AG25" s="51">
        <f>AC25*AD25</f>
        <v>132.11353267050055</v>
      </c>
      <c r="AH25" s="53">
        <f>SQRT(AD25/AE25)</f>
        <v>1270</v>
      </c>
      <c r="AI25" s="112">
        <f>(AH25*AE25)</f>
        <v>1270</v>
      </c>
      <c r="AJ25" s="55">
        <f>(($AC$2/AH25)+($AC$3/AI25))*100+5</f>
        <v>7</v>
      </c>
    </row>
    <row r="26" spans="2:36" ht="13.5" thickBot="1">
      <c r="B26" s="14">
        <v>50</v>
      </c>
      <c r="C26" s="60">
        <f t="shared" si="0"/>
        <v>635</v>
      </c>
      <c r="D26" s="60">
        <f t="shared" si="0"/>
        <v>128.91012069554765</v>
      </c>
      <c r="E26" s="60">
        <f>AJ12</f>
        <v>8</v>
      </c>
      <c r="F26" s="62">
        <f t="shared" si="1"/>
        <v>254</v>
      </c>
      <c r="G26" s="62">
        <f t="shared" si="1"/>
        <v>85.18017796536574</v>
      </c>
      <c r="H26" s="85">
        <f>AJ23</f>
        <v>11</v>
      </c>
      <c r="I26" s="60">
        <f t="shared" si="2"/>
        <v>127</v>
      </c>
      <c r="J26" s="60">
        <f t="shared" si="2"/>
        <v>62.26052508537427</v>
      </c>
      <c r="K26" s="60">
        <f>AJ34</f>
        <v>15.999999999999998</v>
      </c>
      <c r="L26" s="62">
        <f t="shared" si="3"/>
        <v>63.5</v>
      </c>
      <c r="M26" s="62">
        <f t="shared" si="3"/>
        <v>45.507923046165146</v>
      </c>
      <c r="N26" s="85">
        <f>AJ45</f>
        <v>26</v>
      </c>
      <c r="O26" s="60">
        <f t="shared" si="4"/>
        <v>25.400000000000002</v>
      </c>
      <c r="P26" s="60">
        <f t="shared" si="4"/>
        <v>30.070354158317063</v>
      </c>
      <c r="Q26" s="60">
        <f>AJ56</f>
        <v>55.99999999999999</v>
      </c>
      <c r="R26" s="62">
        <f t="shared" si="5"/>
        <v>12.700000000000001</v>
      </c>
      <c r="S26" s="62">
        <f t="shared" si="5"/>
        <v>21.97924545498394</v>
      </c>
      <c r="T26" s="85">
        <f>AJ67</f>
        <v>105.99999999999997</v>
      </c>
      <c r="AA26" s="29">
        <v>5</v>
      </c>
      <c r="AB26" s="39">
        <v>1000</v>
      </c>
      <c r="AC26" s="39">
        <f>0.325*POWER(AD26,-0.5478)</f>
        <v>6.047105437602276E-05</v>
      </c>
      <c r="AD26" s="110">
        <f>AF26*$F$12</f>
        <v>6451600</v>
      </c>
      <c r="AE26" s="51">
        <f>$F$12/AF26</f>
        <v>0.25</v>
      </c>
      <c r="AF26" s="124">
        <f>AB26/$F$11*$F$12</f>
        <v>5080</v>
      </c>
      <c r="AG26" s="51">
        <f>AC26*AD26</f>
        <v>390.13505441234844</v>
      </c>
      <c r="AH26" s="53">
        <f>SQRT(AD26/AE26)</f>
        <v>5080</v>
      </c>
      <c r="AI26" s="112">
        <f>(AH26*AE26)</f>
        <v>1270</v>
      </c>
      <c r="AJ26" s="55">
        <f>(($AC$2/AH26)+($AC$3/AI26))*100+5</f>
        <v>6.25</v>
      </c>
    </row>
    <row r="27" spans="2:36" ht="13.5" thickBot="1">
      <c r="B27" s="14">
        <v>100</v>
      </c>
      <c r="C27" s="60">
        <f t="shared" si="0"/>
        <v>1270</v>
      </c>
      <c r="D27" s="132">
        <f t="shared" si="0"/>
        <v>132.11353267050055</v>
      </c>
      <c r="E27" s="60">
        <f>AJ13</f>
        <v>7</v>
      </c>
      <c r="F27" s="62">
        <f t="shared" si="1"/>
        <v>508</v>
      </c>
      <c r="G27" s="62">
        <f t="shared" si="1"/>
        <v>87.29690239825422</v>
      </c>
      <c r="H27" s="85">
        <f>AJ24</f>
        <v>8.5</v>
      </c>
      <c r="I27" s="60">
        <f t="shared" si="2"/>
        <v>254</v>
      </c>
      <c r="J27" s="60">
        <f t="shared" si="2"/>
        <v>63.80769694860124</v>
      </c>
      <c r="K27" s="60">
        <f>AJ35</f>
        <v>11</v>
      </c>
      <c r="L27" s="62">
        <f t="shared" si="3"/>
        <v>127</v>
      </c>
      <c r="M27" s="62">
        <f t="shared" si="3"/>
        <v>46.63879333668036</v>
      </c>
      <c r="N27" s="85">
        <f>AJ46</f>
        <v>15.999999999999998</v>
      </c>
      <c r="O27" s="60">
        <f t="shared" si="4"/>
        <v>50.800000000000004</v>
      </c>
      <c r="P27" s="60">
        <f t="shared" si="4"/>
        <v>30.817601403778326</v>
      </c>
      <c r="Q27" s="60">
        <f>AJ57</f>
        <v>30.999999999999996</v>
      </c>
      <c r="R27" s="62">
        <f t="shared" si="5"/>
        <v>25.400000000000002</v>
      </c>
      <c r="S27" s="62">
        <f t="shared" si="5"/>
        <v>22.525428933139324</v>
      </c>
      <c r="T27" s="85">
        <f>AJ68</f>
        <v>55.99999999999999</v>
      </c>
      <c r="AA27" s="56" t="s">
        <v>2</v>
      </c>
      <c r="AB27" s="2"/>
      <c r="AC27" s="2"/>
      <c r="AD27" s="114"/>
      <c r="AE27" s="103"/>
      <c r="AH27" s="2"/>
      <c r="AI27" s="114"/>
      <c r="AJ27" s="2"/>
    </row>
    <row r="28" spans="2:36" ht="12.75">
      <c r="B28" s="14">
        <v>250</v>
      </c>
      <c r="C28" s="60">
        <f t="shared" si="0"/>
        <v>3175</v>
      </c>
      <c r="D28" s="132">
        <f t="shared" si="0"/>
        <v>199.9381998120987</v>
      </c>
      <c r="E28" s="60">
        <f>AJ14</f>
        <v>6.4</v>
      </c>
      <c r="F28" s="62">
        <f t="shared" si="1"/>
        <v>1270</v>
      </c>
      <c r="G28" s="62">
        <f t="shared" si="1"/>
        <v>132.11353267050055</v>
      </c>
      <c r="H28" s="85">
        <f>AJ25</f>
        <v>7</v>
      </c>
      <c r="I28" s="60">
        <f t="shared" si="2"/>
        <v>635</v>
      </c>
      <c r="J28" s="60">
        <f t="shared" si="2"/>
        <v>96.5653995028466</v>
      </c>
      <c r="K28" s="60">
        <f>AJ36</f>
        <v>8</v>
      </c>
      <c r="L28" s="62">
        <f t="shared" si="3"/>
        <v>317.5</v>
      </c>
      <c r="M28" s="62">
        <f t="shared" si="3"/>
        <v>70.58229533836776</v>
      </c>
      <c r="N28" s="85">
        <f>AJ47</f>
        <v>10</v>
      </c>
      <c r="O28" s="60">
        <f t="shared" si="4"/>
        <v>127</v>
      </c>
      <c r="P28" s="60">
        <f t="shared" si="4"/>
        <v>46.63879333668036</v>
      </c>
      <c r="Q28" s="60">
        <f>AJ58</f>
        <v>15.999999999999998</v>
      </c>
      <c r="R28" s="62">
        <f t="shared" si="5"/>
        <v>63.5</v>
      </c>
      <c r="S28" s="62">
        <f t="shared" si="5"/>
        <v>34.089571445490975</v>
      </c>
      <c r="T28" s="85">
        <f>AJ69</f>
        <v>26</v>
      </c>
      <c r="AA28" s="27"/>
      <c r="AB28" s="30"/>
      <c r="AC28" s="30"/>
      <c r="AD28" s="129"/>
      <c r="AE28" s="104"/>
      <c r="AF28" s="119"/>
      <c r="AG28" s="42"/>
      <c r="AH28" s="40"/>
      <c r="AI28" s="129"/>
      <c r="AJ28" s="43"/>
    </row>
    <row r="29" spans="2:36" ht="14.25">
      <c r="B29" s="14">
        <v>1000</v>
      </c>
      <c r="C29" s="60">
        <f>AF15</f>
        <v>12700</v>
      </c>
      <c r="D29" s="132">
        <f>AG15</f>
        <v>590.4232434488323</v>
      </c>
      <c r="E29" s="60">
        <f>AJ15</f>
        <v>6.1</v>
      </c>
      <c r="F29" s="62">
        <f>AF26</f>
        <v>5080</v>
      </c>
      <c r="G29" s="62">
        <f>AG26</f>
        <v>390.13505441234844</v>
      </c>
      <c r="H29" s="85">
        <f>AJ26</f>
        <v>6.25</v>
      </c>
      <c r="I29" s="60">
        <f>AF37</f>
        <v>2540</v>
      </c>
      <c r="J29" s="60">
        <f>AG37</f>
        <v>285.1603967275135</v>
      </c>
      <c r="K29" s="60">
        <f>AJ37</f>
        <v>6.5</v>
      </c>
      <c r="L29" s="62">
        <f>AF48</f>
        <v>1270</v>
      </c>
      <c r="M29" s="62">
        <f>AG48</f>
        <v>208.43154426171205</v>
      </c>
      <c r="N29" s="85">
        <f>AJ48</f>
        <v>7</v>
      </c>
      <c r="O29" s="60">
        <f>AF59</f>
        <v>508</v>
      </c>
      <c r="P29" s="60">
        <f>AG59</f>
        <v>137.7256955312263</v>
      </c>
      <c r="Q29" s="60">
        <f>AJ59</f>
        <v>8.5</v>
      </c>
      <c r="R29" s="62">
        <f>AF70</f>
        <v>254</v>
      </c>
      <c r="S29" s="62">
        <f>AG70</f>
        <v>100.66748304997768</v>
      </c>
      <c r="T29" s="85">
        <f>AJ70</f>
        <v>11</v>
      </c>
      <c r="AA29" s="58"/>
      <c r="AB29" s="31" t="s">
        <v>17</v>
      </c>
      <c r="AC29" s="32" t="s">
        <v>18</v>
      </c>
      <c r="AD29" s="130" t="s">
        <v>34</v>
      </c>
      <c r="AE29" s="44" t="s">
        <v>37</v>
      </c>
      <c r="AF29" s="120" t="s">
        <v>78</v>
      </c>
      <c r="AG29" s="46" t="s">
        <v>44</v>
      </c>
      <c r="AH29" s="47" t="s">
        <v>38</v>
      </c>
      <c r="AI29" s="131" t="s">
        <v>39</v>
      </c>
      <c r="AJ29" s="47" t="s">
        <v>19</v>
      </c>
    </row>
    <row r="30" spans="5:36" ht="12.75">
      <c r="E30" s="24"/>
      <c r="AA30" s="28" t="s">
        <v>20</v>
      </c>
      <c r="AB30" s="33" t="s">
        <v>21</v>
      </c>
      <c r="AC30" s="34" t="s">
        <v>22</v>
      </c>
      <c r="AD30" s="198" t="s">
        <v>36</v>
      </c>
      <c r="AE30" s="105" t="s">
        <v>23</v>
      </c>
      <c r="AF30" s="121" t="s">
        <v>28</v>
      </c>
      <c r="AG30" s="48" t="s">
        <v>22</v>
      </c>
      <c r="AH30" s="48" t="s">
        <v>24</v>
      </c>
      <c r="AI30" s="121" t="s">
        <v>24</v>
      </c>
      <c r="AJ30" s="48" t="s">
        <v>25</v>
      </c>
    </row>
    <row r="31" spans="1:36" ht="12.75">
      <c r="A31" s="144" t="s">
        <v>139</v>
      </c>
      <c r="B31" s="144"/>
      <c r="C31" s="144"/>
      <c r="D31" s="144"/>
      <c r="E31" s="144"/>
      <c r="F31" s="144"/>
      <c r="G31" s="144"/>
      <c r="H31" s="144"/>
      <c r="I31" s="144"/>
      <c r="J31" s="144"/>
      <c r="K31" s="144"/>
      <c r="L31" s="144"/>
      <c r="M31" s="144"/>
      <c r="N31" s="144"/>
      <c r="O31" s="144"/>
      <c r="P31" s="144"/>
      <c r="Q31" s="144"/>
      <c r="R31" s="144"/>
      <c r="S31" s="144"/>
      <c r="T31" s="144"/>
      <c r="AA31" s="1"/>
      <c r="AB31" s="35" t="s">
        <v>35</v>
      </c>
      <c r="AC31" s="36" t="s">
        <v>26</v>
      </c>
      <c r="AD31" s="199"/>
      <c r="AE31" s="106" t="s">
        <v>27</v>
      </c>
      <c r="AF31" s="122"/>
      <c r="AG31" s="49" t="s">
        <v>45</v>
      </c>
      <c r="AH31" s="49" t="s">
        <v>28</v>
      </c>
      <c r="AI31" s="122" t="s">
        <v>29</v>
      </c>
      <c r="AJ31" s="49" t="s">
        <v>30</v>
      </c>
    </row>
    <row r="32" spans="27:36" ht="13.5" thickBot="1">
      <c r="AA32" s="59"/>
      <c r="AB32" s="37" t="s">
        <v>31</v>
      </c>
      <c r="AC32" s="38" t="s">
        <v>127</v>
      </c>
      <c r="AD32" s="128" t="s">
        <v>128</v>
      </c>
      <c r="AE32" s="75"/>
      <c r="AF32" s="125" t="s">
        <v>129</v>
      </c>
      <c r="AG32" s="50" t="s">
        <v>46</v>
      </c>
      <c r="AH32" s="50" t="s">
        <v>129</v>
      </c>
      <c r="AI32" s="125" t="s">
        <v>129</v>
      </c>
      <c r="AJ32" s="50" t="s">
        <v>32</v>
      </c>
    </row>
    <row r="33" spans="27:36" ht="13.5" thickTop="1">
      <c r="AA33" s="29">
        <v>1</v>
      </c>
      <c r="AB33" s="39">
        <v>25</v>
      </c>
      <c r="AC33" s="39">
        <f>0.344*POWER(AD33,-0.5478)</f>
        <v>0.0007058872173952421</v>
      </c>
      <c r="AD33" s="110">
        <f>AF33*$I$12</f>
        <v>80645</v>
      </c>
      <c r="AE33" s="51">
        <f>$I$12/AF33</f>
        <v>20</v>
      </c>
      <c r="AF33" s="124">
        <f>AB33/$I$11*$I$12</f>
        <v>63.5</v>
      </c>
      <c r="AG33" s="51">
        <f>AC33*AD33</f>
        <v>56.926274646839296</v>
      </c>
      <c r="AH33" s="53">
        <f>SQRT(AD33/AE33)</f>
        <v>63.5</v>
      </c>
      <c r="AI33" s="112">
        <f>(AH33*AE33)</f>
        <v>1270</v>
      </c>
      <c r="AJ33" s="55">
        <f>(($AC$2/AH33)+($AC$3/AI33))*100+5</f>
        <v>26</v>
      </c>
    </row>
    <row r="34" spans="2:36" ht="12.75">
      <c r="B34" t="s">
        <v>16</v>
      </c>
      <c r="AA34" s="29">
        <v>2</v>
      </c>
      <c r="AB34" s="39">
        <v>50</v>
      </c>
      <c r="AC34" s="39">
        <f>0.275*POWER(AD34,-0.5478)</f>
        <v>0.0003860160275613756</v>
      </c>
      <c r="AD34" s="110">
        <f>AF34*$I$12</f>
        <v>161290</v>
      </c>
      <c r="AE34" s="51">
        <f>$I$12/AF34</f>
        <v>10</v>
      </c>
      <c r="AF34" s="124">
        <f>AB34/$I$11*$I$12</f>
        <v>127</v>
      </c>
      <c r="AG34" s="51">
        <f>AC34*AD34</f>
        <v>62.26052508537427</v>
      </c>
      <c r="AH34" s="53">
        <f>SQRT(AD34/AE34)</f>
        <v>127</v>
      </c>
      <c r="AI34" s="112">
        <f>(AH34*AE34)</f>
        <v>1270</v>
      </c>
      <c r="AJ34" s="55">
        <f>(($AC$2/AH34)+($AC$3/AI34))*100+5</f>
        <v>15.999999999999998</v>
      </c>
    </row>
    <row r="35" spans="2:36" ht="12.75">
      <c r="B35" t="s">
        <v>61</v>
      </c>
      <c r="AA35" s="29">
        <v>3</v>
      </c>
      <c r="AB35" s="39">
        <v>100</v>
      </c>
      <c r="AC35" s="39">
        <f>0.206*POWER(AD35,-0.5478)</f>
        <v>0.00019780425614917613</v>
      </c>
      <c r="AD35" s="110">
        <f>AF35*$I$12</f>
        <v>322580</v>
      </c>
      <c r="AE35" s="51">
        <f>$I$12/AF35</f>
        <v>5</v>
      </c>
      <c r="AF35" s="124">
        <f>AB35/$I$11*$I$12</f>
        <v>254</v>
      </c>
      <c r="AG35" s="51">
        <f>AC35*AD35</f>
        <v>63.80769694860124</v>
      </c>
      <c r="AH35" s="53">
        <f>SQRT(AD35/AE35)</f>
        <v>254</v>
      </c>
      <c r="AI35" s="112">
        <f>(AH35*AE35)</f>
        <v>1270</v>
      </c>
      <c r="AJ35" s="55">
        <f>(($AC$2/AH35)+($AC$3/AI35))*100+5</f>
        <v>11</v>
      </c>
    </row>
    <row r="36" spans="27:36" ht="12.75">
      <c r="AA36" s="29">
        <v>4</v>
      </c>
      <c r="AB36" s="39">
        <v>250</v>
      </c>
      <c r="AC36" s="39">
        <f>0.206*POWER(AD36,-0.5478)</f>
        <v>0.00011974133486619951</v>
      </c>
      <c r="AD36" s="110">
        <f>AF36*$I$12</f>
        <v>806450</v>
      </c>
      <c r="AE36" s="51">
        <f>$I$12/AF36</f>
        <v>2</v>
      </c>
      <c r="AF36" s="124">
        <f>AB36/$I$11*$I$12</f>
        <v>635</v>
      </c>
      <c r="AG36" s="51">
        <f>AC36*AD36</f>
        <v>96.5653995028466</v>
      </c>
      <c r="AH36" s="53">
        <f>SQRT(AD36/AE36)</f>
        <v>635</v>
      </c>
      <c r="AI36" s="112">
        <f>(AH36*AE36)</f>
        <v>1270</v>
      </c>
      <c r="AJ36" s="55">
        <f>(($AC$2/AH36)+($AC$3/AI36))*100+5</f>
        <v>8</v>
      </c>
    </row>
    <row r="37" spans="2:36" ht="13.5" thickBot="1">
      <c r="B37" s="142" t="s">
        <v>15</v>
      </c>
      <c r="C37" s="142"/>
      <c r="D37" s="142"/>
      <c r="E37" s="142"/>
      <c r="F37" s="142"/>
      <c r="G37" s="142"/>
      <c r="H37" s="142"/>
      <c r="I37" s="142"/>
      <c r="J37" s="142"/>
      <c r="K37" s="142"/>
      <c r="L37" s="142"/>
      <c r="M37" s="142"/>
      <c r="N37" s="142"/>
      <c r="O37" s="142"/>
      <c r="P37" s="142"/>
      <c r="Q37" s="142"/>
      <c r="R37" s="142"/>
      <c r="S37" s="142"/>
      <c r="AA37" s="29">
        <v>5</v>
      </c>
      <c r="AB37" s="39">
        <v>1000</v>
      </c>
      <c r="AC37" s="39">
        <f>0.325*POWER(AD37,-0.5478)</f>
        <v>8.839989978532876E-05</v>
      </c>
      <c r="AD37" s="110">
        <f>AF37*$I$12</f>
        <v>3225800</v>
      </c>
      <c r="AE37" s="51">
        <f>$I$12/AF37</f>
        <v>0.5</v>
      </c>
      <c r="AF37" s="124">
        <f>AB37/$I$11*$I$12</f>
        <v>2540</v>
      </c>
      <c r="AG37" s="51">
        <f>AC37*AD37</f>
        <v>285.1603967275135</v>
      </c>
      <c r="AH37" s="53">
        <f>SQRT(AD37/AE37)</f>
        <v>2540</v>
      </c>
      <c r="AI37" s="112">
        <f>(AH37*AE37)</f>
        <v>1270</v>
      </c>
      <c r="AJ37" s="55">
        <f>(($AC$2/AH37)+($AC$3/AI37))*100+5</f>
        <v>6.5</v>
      </c>
    </row>
    <row r="38" spans="2:36" ht="13.5" thickBot="1">
      <c r="B38" s="179" t="s">
        <v>7</v>
      </c>
      <c r="C38" s="17"/>
      <c r="D38" s="18"/>
      <c r="E38" s="18"/>
      <c r="F38" s="18"/>
      <c r="G38" s="18"/>
      <c r="H38" s="18"/>
      <c r="I38" s="18"/>
      <c r="J38" s="18"/>
      <c r="K38" s="18"/>
      <c r="L38" s="18"/>
      <c r="M38" s="18"/>
      <c r="N38" s="18"/>
      <c r="O38" s="18"/>
      <c r="P38" s="18"/>
      <c r="Q38" s="18"/>
      <c r="R38" s="18"/>
      <c r="S38" s="19"/>
      <c r="AA38" s="57" t="s">
        <v>3</v>
      </c>
      <c r="AB38" s="2"/>
      <c r="AC38" s="2"/>
      <c r="AD38" s="114"/>
      <c r="AE38" s="103"/>
      <c r="AH38" s="2"/>
      <c r="AI38" s="114"/>
      <c r="AJ38" s="2"/>
    </row>
    <row r="39" spans="2:36" ht="12.75">
      <c r="B39" s="180"/>
      <c r="C39" s="20"/>
      <c r="D39" s="21"/>
      <c r="E39" s="16"/>
      <c r="F39" s="21"/>
      <c r="G39" s="21"/>
      <c r="H39" s="16"/>
      <c r="I39" s="21"/>
      <c r="J39" s="21"/>
      <c r="K39" s="16"/>
      <c r="L39" s="21"/>
      <c r="M39" s="21"/>
      <c r="N39" s="16"/>
      <c r="O39" s="21"/>
      <c r="P39" s="21"/>
      <c r="Q39" s="16"/>
      <c r="R39" s="21"/>
      <c r="S39" s="22"/>
      <c r="AA39" s="27"/>
      <c r="AB39" s="30"/>
      <c r="AC39" s="30"/>
      <c r="AD39" s="129"/>
      <c r="AE39" s="104"/>
      <c r="AF39" s="119"/>
      <c r="AG39" s="42"/>
      <c r="AH39" s="40"/>
      <c r="AI39" s="129"/>
      <c r="AJ39" s="43"/>
    </row>
    <row r="40" spans="2:36" ht="15" thickBot="1">
      <c r="B40" s="13" t="s">
        <v>101</v>
      </c>
      <c r="C40" s="146" t="s">
        <v>9</v>
      </c>
      <c r="D40" s="147"/>
      <c r="E40" s="23"/>
      <c r="F40" s="148" t="s">
        <v>10</v>
      </c>
      <c r="G40" s="149"/>
      <c r="H40" s="23"/>
      <c r="I40" s="146" t="s">
        <v>11</v>
      </c>
      <c r="J40" s="147"/>
      <c r="K40" s="23"/>
      <c r="L40" s="148" t="s">
        <v>12</v>
      </c>
      <c r="M40" s="149"/>
      <c r="N40" s="23"/>
      <c r="O40" s="146" t="s">
        <v>13</v>
      </c>
      <c r="P40" s="147"/>
      <c r="Q40" s="23"/>
      <c r="R40" s="148" t="s">
        <v>14</v>
      </c>
      <c r="S40" s="149"/>
      <c r="AA40" s="58"/>
      <c r="AB40" s="31" t="s">
        <v>17</v>
      </c>
      <c r="AC40" s="32" t="s">
        <v>18</v>
      </c>
      <c r="AD40" s="130" t="s">
        <v>34</v>
      </c>
      <c r="AE40" s="44" t="s">
        <v>37</v>
      </c>
      <c r="AF40" s="120" t="s">
        <v>78</v>
      </c>
      <c r="AG40" s="46" t="s">
        <v>44</v>
      </c>
      <c r="AH40" s="47" t="s">
        <v>38</v>
      </c>
      <c r="AI40" s="131" t="s">
        <v>39</v>
      </c>
      <c r="AJ40" s="47" t="s">
        <v>19</v>
      </c>
    </row>
    <row r="41" spans="2:36" ht="12.75">
      <c r="B41" s="14">
        <v>25</v>
      </c>
      <c r="C41" s="175" t="str">
        <f>IF(AE11&lt;1,"Partial Square",IF(AE11&lt;=10,"Bar",IF(AE11&gt;10,"Serpentine")))</f>
        <v>Bar</v>
      </c>
      <c r="D41" s="176"/>
      <c r="E41" s="65"/>
      <c r="F41" s="177" t="str">
        <f>IF(AE22&lt;1,"Partial Square",IF(AE22&lt;=10,"Bar",IF(AE22&gt;10,"Serpentine")))</f>
        <v>Bar</v>
      </c>
      <c r="G41" s="178"/>
      <c r="H41" s="66"/>
      <c r="I41" s="175" t="str">
        <f>IF(AE33&lt;1,"Partial Square",IF(AE33&lt;=10,"Bar",IF(AE33&gt;10,"Serpentine")))</f>
        <v>Serpentine</v>
      </c>
      <c r="J41" s="176"/>
      <c r="K41" s="66"/>
      <c r="L41" s="177" t="str">
        <f>IF(AE44&lt;1,"Partial Square",IF(AE44&lt;=10,"Bar",IF(AE44&gt;10,"Serpentine")))</f>
        <v>Serpentine</v>
      </c>
      <c r="M41" s="178"/>
      <c r="N41" s="66"/>
      <c r="O41" s="175" t="str">
        <f>IF(AE55&lt;1,"Partial Square",IF(AE55&lt;=10,"Bar",IF(AE55&gt;10,"Serpentine")))</f>
        <v>Serpentine</v>
      </c>
      <c r="P41" s="176"/>
      <c r="Q41" s="66"/>
      <c r="R41" s="177" t="str">
        <f>IF(AE66&lt;1,"Partial Square",IF(AE66&lt;=10,"Bar",IF(AE66&gt;10,"Serpentine")))</f>
        <v>Serpentine</v>
      </c>
      <c r="S41" s="178"/>
      <c r="AA41" s="28" t="s">
        <v>20</v>
      </c>
      <c r="AB41" s="33" t="s">
        <v>21</v>
      </c>
      <c r="AC41" s="34" t="s">
        <v>22</v>
      </c>
      <c r="AD41" s="198" t="s">
        <v>36</v>
      </c>
      <c r="AE41" s="105" t="s">
        <v>23</v>
      </c>
      <c r="AF41" s="121" t="s">
        <v>28</v>
      </c>
      <c r="AG41" s="48" t="s">
        <v>22</v>
      </c>
      <c r="AH41" s="48" t="s">
        <v>24</v>
      </c>
      <c r="AI41" s="121" t="s">
        <v>24</v>
      </c>
      <c r="AJ41" s="48" t="s">
        <v>25</v>
      </c>
    </row>
    <row r="42" spans="2:36" ht="12.75">
      <c r="B42" s="14">
        <v>50</v>
      </c>
      <c r="C42" s="175" t="str">
        <f>IF(AE12&lt;1,"Partial Square",IF(AE12&lt;=10,"Bar",IF(AE12&gt;10,"Serpentine")))</f>
        <v>Bar</v>
      </c>
      <c r="D42" s="176"/>
      <c r="E42" s="65"/>
      <c r="F42" s="177" t="str">
        <f>IF(AE23&lt;1,"Partial Square",IF(AE23&lt;=10,"Bar",IF(AE23&gt;10,"Serpentine")))</f>
        <v>Bar</v>
      </c>
      <c r="G42" s="178"/>
      <c r="H42" s="66"/>
      <c r="I42" s="175" t="str">
        <f>IF(AE34&lt;1,"Partial Square",IF(AE34&lt;=10,"Bar",IF(AE34&gt;10,"Serpentine")))</f>
        <v>Bar</v>
      </c>
      <c r="J42" s="176"/>
      <c r="K42" s="66"/>
      <c r="L42" s="177" t="str">
        <f>IF(AE45&lt;1,"Partial Square",IF(AE45&lt;=10,"Bar",IF(AE45&gt;10,"Serpentine")))</f>
        <v>Serpentine</v>
      </c>
      <c r="M42" s="178"/>
      <c r="N42" s="66"/>
      <c r="O42" s="175" t="str">
        <f>IF(AE56&lt;1,"Partial Square",IF(AE56&lt;=10,"Bar",IF(AE56&gt;10,"Serpentine")))</f>
        <v>Serpentine</v>
      </c>
      <c r="P42" s="176"/>
      <c r="Q42" s="66"/>
      <c r="R42" s="177" t="str">
        <f>IF(AE67&lt;1,"Partial Square",IF(AE67&lt;=10,"Bar",IF(AE67&gt;10,"Serpentine")))</f>
        <v>Serpentine</v>
      </c>
      <c r="S42" s="178"/>
      <c r="AA42" s="1"/>
      <c r="AB42" s="35" t="s">
        <v>35</v>
      </c>
      <c r="AC42" s="36" t="s">
        <v>26</v>
      </c>
      <c r="AD42" s="199"/>
      <c r="AE42" s="106" t="s">
        <v>27</v>
      </c>
      <c r="AF42" s="122"/>
      <c r="AG42" s="49" t="s">
        <v>45</v>
      </c>
      <c r="AH42" s="49" t="s">
        <v>28</v>
      </c>
      <c r="AI42" s="122" t="s">
        <v>29</v>
      </c>
      <c r="AJ42" s="49" t="s">
        <v>30</v>
      </c>
    </row>
    <row r="43" spans="2:36" ht="13.5" thickBot="1">
      <c r="B43" s="14">
        <v>100</v>
      </c>
      <c r="C43" s="175" t="str">
        <f>IF(AE13&lt;1,"Partial Square",IF(AE13&lt;=10,"Bar",IF(AE13&gt;10,"Serpentine")))</f>
        <v>Bar</v>
      </c>
      <c r="D43" s="176"/>
      <c r="E43" s="67"/>
      <c r="F43" s="177" t="str">
        <f>IF(AE24&lt;1,"Partial Square",IF(AE24&lt;=10,"Bar",IF(AE24&gt;10,"Serpentine")))</f>
        <v>Bar</v>
      </c>
      <c r="G43" s="178"/>
      <c r="H43" s="68"/>
      <c r="I43" s="175" t="str">
        <f>IF(AE35&lt;1,"Partial Square",IF(AE35&lt;=10,"Bar",IF(AE35&gt;10,"Serpentine")))</f>
        <v>Bar</v>
      </c>
      <c r="J43" s="176"/>
      <c r="K43" s="68"/>
      <c r="L43" s="177" t="str">
        <f>IF(AE46&lt;1,"Partial Square",IF(AE46&lt;=10,"Bar",IF(AE46&gt;10,"Serpentine")))</f>
        <v>Bar</v>
      </c>
      <c r="M43" s="178"/>
      <c r="N43" s="68"/>
      <c r="O43" s="175" t="str">
        <f>IF(AE57&lt;1,"Partial Square",IF(AE57&lt;=10,"Bar",IF(AE57&gt;10,"Serpentine")))</f>
        <v>Serpentine</v>
      </c>
      <c r="P43" s="176"/>
      <c r="Q43" s="68"/>
      <c r="R43" s="177" t="str">
        <f>IF(AE68&lt;1,"Partial Square",IF(AE68&lt;=10,"Bar",IF(AE68&gt;10,"Serpentine")))</f>
        <v>Serpentine</v>
      </c>
      <c r="S43" s="178"/>
      <c r="AA43" s="59"/>
      <c r="AB43" s="37" t="s">
        <v>31</v>
      </c>
      <c r="AC43" s="38" t="s">
        <v>127</v>
      </c>
      <c r="AD43" s="128" t="s">
        <v>128</v>
      </c>
      <c r="AE43" s="75"/>
      <c r="AF43" s="125" t="s">
        <v>129</v>
      </c>
      <c r="AG43" s="50" t="s">
        <v>46</v>
      </c>
      <c r="AH43" s="50" t="s">
        <v>129</v>
      </c>
      <c r="AI43" s="125" t="s">
        <v>129</v>
      </c>
      <c r="AJ43" s="50" t="s">
        <v>32</v>
      </c>
    </row>
    <row r="44" spans="2:36" ht="13.5" thickTop="1">
      <c r="B44" s="14">
        <v>250</v>
      </c>
      <c r="C44" s="175" t="str">
        <f>IF(AE14&lt;1,"Partial Square",IF(AE14&lt;=10,"Bar",IF(AE14&gt;10,"Serpentine")))</f>
        <v>Partial Square</v>
      </c>
      <c r="D44" s="176"/>
      <c r="E44" s="67"/>
      <c r="F44" s="177" t="str">
        <f>IF(AE25&lt;1,"Partial Square",IF(AE25&lt;=10,"Bar",IF(AE25&gt;10,"Serpentine")))</f>
        <v>Bar</v>
      </c>
      <c r="G44" s="178"/>
      <c r="H44" s="68"/>
      <c r="I44" s="175" t="str">
        <f>IF(AE36&lt;1,"Partial Square",IF(AE36&lt;=10,"Bar",IF(AE36&gt;10,"Serpentine")))</f>
        <v>Bar</v>
      </c>
      <c r="J44" s="176"/>
      <c r="K44" s="68"/>
      <c r="L44" s="177" t="str">
        <f>IF(AE47&lt;1,"Partial Square",IF(AE47&lt;=10,"Bar",IF(AE47&gt;10,"Serpentine")))</f>
        <v>Bar</v>
      </c>
      <c r="M44" s="178"/>
      <c r="N44" s="68"/>
      <c r="O44" s="175" t="str">
        <f>IF(AE58&lt;1,"Partial Square",IF(AE58&lt;=10,"Bar",IF(AE58&gt;10,"Serpentine")))</f>
        <v>Bar</v>
      </c>
      <c r="P44" s="176"/>
      <c r="Q44" s="68"/>
      <c r="R44" s="177" t="str">
        <f>IF(AE69&lt;1,"Partial Square",IF(AE69&lt;=10,"Bar",IF(AE69&gt;10,"Serpentine")))</f>
        <v>Serpentine</v>
      </c>
      <c r="S44" s="178"/>
      <c r="AA44" s="29">
        <v>1</v>
      </c>
      <c r="AB44" s="39">
        <v>25</v>
      </c>
      <c r="AC44" s="39">
        <f>0.344*POWER(AD44,-0.5478)</f>
        <v>0.0010319046016539469</v>
      </c>
      <c r="AD44" s="110">
        <f>AF44*$L$12</f>
        <v>40322.5</v>
      </c>
      <c r="AE44" s="51">
        <f>$L$12/AF44</f>
        <v>40</v>
      </c>
      <c r="AF44" s="124">
        <f>AB44/$L$11*$L$12</f>
        <v>31.75</v>
      </c>
      <c r="AG44" s="51">
        <f>AC44*AD44</f>
        <v>41.60897330019127</v>
      </c>
      <c r="AH44" s="53">
        <f>SQRT(AD44/AE44)</f>
        <v>31.75</v>
      </c>
      <c r="AI44" s="112">
        <f>(AH44*AE44)</f>
        <v>1270</v>
      </c>
      <c r="AJ44" s="55">
        <f>(($AC$2/AH44)+($AC$3/AI44))*100+5</f>
        <v>46</v>
      </c>
    </row>
    <row r="45" spans="2:36" ht="12.75">
      <c r="B45" s="14">
        <v>1000</v>
      </c>
      <c r="C45" s="175" t="str">
        <f>IF(AE15&lt;1,"Partial Square",IF(AE15&lt;=10,"Bar",IF(AE15&gt;10,"Serpentine")))</f>
        <v>Partial Square</v>
      </c>
      <c r="D45" s="176"/>
      <c r="E45" s="67"/>
      <c r="F45" s="177" t="str">
        <f>IF(AE26&lt;1,"Partial Square",IF(AE26&lt;=10,"Bar",IF(AE26&gt;10,"Serpentine")))</f>
        <v>Partial Square</v>
      </c>
      <c r="G45" s="178"/>
      <c r="H45" s="68"/>
      <c r="I45" s="175" t="str">
        <f>IF(AE37&lt;1,"Partial Square",IF(AE37&lt;=10,"Bar",IF(AE37&gt;10,"Serpentine")))</f>
        <v>Partial Square</v>
      </c>
      <c r="J45" s="176"/>
      <c r="K45" s="68"/>
      <c r="L45" s="177" t="str">
        <f>IF(AE48&lt;1,"Partial Square",IF(AE48&lt;=10,"Bar",IF(AE48&gt;10,"Serpentine")))</f>
        <v>Bar</v>
      </c>
      <c r="M45" s="178"/>
      <c r="N45" s="68"/>
      <c r="O45" s="175" t="str">
        <f>IF(AE59&lt;1,"Partial Square",IF(AE59&lt;=10,"Bar",IF(AE59&gt;10,"Serpentine")))</f>
        <v>Bar</v>
      </c>
      <c r="P45" s="176"/>
      <c r="Q45" s="68"/>
      <c r="R45" s="177" t="str">
        <f>IF(AE70&lt;1,"Partial Square",IF(AE70&lt;=10,"Bar",IF(AE70&gt;10,"Serpentine")))</f>
        <v>Bar</v>
      </c>
      <c r="S45" s="178"/>
      <c r="AA45" s="29">
        <v>2</v>
      </c>
      <c r="AB45" s="39">
        <v>50</v>
      </c>
      <c r="AC45" s="39">
        <f>0.275*POWER(AD45,-0.5478)</f>
        <v>0.0005642993743711966</v>
      </c>
      <c r="AD45" s="110">
        <f>AF45*$L$12</f>
        <v>80645</v>
      </c>
      <c r="AE45" s="51">
        <f>$L$12/AF45</f>
        <v>20</v>
      </c>
      <c r="AF45" s="124">
        <f>AB45/$L$11*$L$12</f>
        <v>63.5</v>
      </c>
      <c r="AG45" s="51">
        <f>AC45*AD45</f>
        <v>45.507923046165146</v>
      </c>
      <c r="AH45" s="53">
        <f>SQRT(AD45/AE45)</f>
        <v>63.5</v>
      </c>
      <c r="AI45" s="112">
        <f>(AH45*AE45)</f>
        <v>1270</v>
      </c>
      <c r="AJ45" s="55">
        <f>(($AC$2/AH45)+($AC$3/AI45))*100+5</f>
        <v>26</v>
      </c>
    </row>
    <row r="46" spans="27:36" ht="12.75">
      <c r="AA46" s="29">
        <v>3</v>
      </c>
      <c r="AB46" s="39">
        <v>100</v>
      </c>
      <c r="AC46" s="39">
        <f>0.206*POWER(AD46,-0.5478)</f>
        <v>0.0002891610970096122</v>
      </c>
      <c r="AD46" s="110">
        <f>AF46*$L$12</f>
        <v>161290</v>
      </c>
      <c r="AE46" s="51">
        <f>$L$12/AF46</f>
        <v>10</v>
      </c>
      <c r="AF46" s="124">
        <f>AB46/$L$11*$L$12</f>
        <v>127</v>
      </c>
      <c r="AG46" s="51">
        <f>AC46*AD46</f>
        <v>46.63879333668036</v>
      </c>
      <c r="AH46" s="53">
        <f>SQRT(AD46/AE46)</f>
        <v>127</v>
      </c>
      <c r="AI46" s="112">
        <f>(AH46*AE46)</f>
        <v>1270</v>
      </c>
      <c r="AJ46" s="55">
        <f>(($AC$2/AH46)+($AC$3/AI46))*100+5</f>
        <v>15.999999999999998</v>
      </c>
    </row>
    <row r="47" spans="27:36" ht="12.75">
      <c r="AA47" s="29">
        <v>4</v>
      </c>
      <c r="AB47" s="39">
        <v>250</v>
      </c>
      <c r="AC47" s="39">
        <f>0.206*POWER(AD47,-0.5478)</f>
        <v>0.0001750444425280371</v>
      </c>
      <c r="AD47" s="110">
        <f>AF47*$L$12</f>
        <v>403225</v>
      </c>
      <c r="AE47" s="51">
        <f>$L$12/AF47</f>
        <v>4</v>
      </c>
      <c r="AF47" s="124">
        <f>AB47/$L$11*$L$12</f>
        <v>317.5</v>
      </c>
      <c r="AG47" s="51">
        <f>AC47*AD47</f>
        <v>70.58229533836776</v>
      </c>
      <c r="AH47" s="53">
        <f>SQRT(AD47/AE47)</f>
        <v>317.5</v>
      </c>
      <c r="AI47" s="112">
        <f>(AH47*AE47)</f>
        <v>1270</v>
      </c>
      <c r="AJ47" s="55">
        <f>(($AC$2/AH47)+($AC$3/AI47))*100+5</f>
        <v>10</v>
      </c>
    </row>
    <row r="48" spans="27:36" ht="13.5" thickBot="1">
      <c r="AA48" s="29">
        <v>5</v>
      </c>
      <c r="AB48" s="39">
        <v>1000</v>
      </c>
      <c r="AC48" s="39">
        <f>0.325*POWER(AD48,-0.5478)</f>
        <v>0.00012922781589789326</v>
      </c>
      <c r="AD48" s="110">
        <f>AF48*$L$12</f>
        <v>1612900</v>
      </c>
      <c r="AE48" s="51">
        <f>$L$12/AF48</f>
        <v>1</v>
      </c>
      <c r="AF48" s="124">
        <f>AB48/$L$11*$L$12</f>
        <v>1270</v>
      </c>
      <c r="AG48" s="51">
        <f>AC48*AD48</f>
        <v>208.43154426171205</v>
      </c>
      <c r="AH48" s="53">
        <f>SQRT(AD48/AE48)</f>
        <v>1270</v>
      </c>
      <c r="AI48" s="112">
        <f>(AH48*AE48)</f>
        <v>1270</v>
      </c>
      <c r="AJ48" s="55">
        <f>(($AC$2/AH48)+($AC$3/AI48))*100+5</f>
        <v>7</v>
      </c>
    </row>
    <row r="49" spans="27:36" ht="13.5" thickBot="1">
      <c r="AA49" s="56" t="s">
        <v>4</v>
      </c>
      <c r="AB49" s="2"/>
      <c r="AC49" s="2"/>
      <c r="AD49" s="114"/>
      <c r="AE49" s="103"/>
      <c r="AH49" s="2"/>
      <c r="AI49" s="114"/>
      <c r="AJ49" s="2"/>
    </row>
    <row r="50" spans="27:36" ht="12.75">
      <c r="AA50" s="27"/>
      <c r="AB50" s="30"/>
      <c r="AC50" s="30"/>
      <c r="AD50" s="129"/>
      <c r="AE50" s="104"/>
      <c r="AF50" s="119"/>
      <c r="AG50" s="42"/>
      <c r="AH50" s="40"/>
      <c r="AI50" s="129"/>
      <c r="AJ50" s="43"/>
    </row>
    <row r="51" spans="27:36" ht="14.25">
      <c r="AA51" s="58"/>
      <c r="AB51" s="31" t="s">
        <v>17</v>
      </c>
      <c r="AC51" s="32" t="s">
        <v>18</v>
      </c>
      <c r="AD51" s="130" t="s">
        <v>34</v>
      </c>
      <c r="AE51" s="44" t="s">
        <v>37</v>
      </c>
      <c r="AF51" s="120" t="s">
        <v>78</v>
      </c>
      <c r="AG51" s="46" t="s">
        <v>44</v>
      </c>
      <c r="AH51" s="47" t="s">
        <v>38</v>
      </c>
      <c r="AI51" s="131" t="s">
        <v>39</v>
      </c>
      <c r="AJ51" s="47" t="s">
        <v>19</v>
      </c>
    </row>
    <row r="52" spans="27:36" ht="12.75">
      <c r="AA52" s="28" t="s">
        <v>20</v>
      </c>
      <c r="AB52" s="33" t="s">
        <v>21</v>
      </c>
      <c r="AC52" s="34" t="s">
        <v>22</v>
      </c>
      <c r="AD52" s="198" t="s">
        <v>36</v>
      </c>
      <c r="AE52" s="105" t="s">
        <v>23</v>
      </c>
      <c r="AF52" s="121" t="s">
        <v>28</v>
      </c>
      <c r="AG52" s="48" t="s">
        <v>22</v>
      </c>
      <c r="AH52" s="48" t="s">
        <v>24</v>
      </c>
      <c r="AI52" s="121" t="s">
        <v>24</v>
      </c>
      <c r="AJ52" s="48" t="s">
        <v>25</v>
      </c>
    </row>
    <row r="53" spans="27:36" ht="12.75">
      <c r="AA53" s="1"/>
      <c r="AB53" s="35" t="s">
        <v>35</v>
      </c>
      <c r="AC53" s="36" t="s">
        <v>26</v>
      </c>
      <c r="AD53" s="199"/>
      <c r="AE53" s="106" t="s">
        <v>27</v>
      </c>
      <c r="AF53" s="122"/>
      <c r="AG53" s="49" t="s">
        <v>45</v>
      </c>
      <c r="AH53" s="49" t="s">
        <v>28</v>
      </c>
      <c r="AI53" s="122" t="s">
        <v>29</v>
      </c>
      <c r="AJ53" s="49" t="s">
        <v>30</v>
      </c>
    </row>
    <row r="54" spans="27:36" ht="24" customHeight="1" thickBot="1">
      <c r="AA54" s="59"/>
      <c r="AB54" s="37" t="s">
        <v>31</v>
      </c>
      <c r="AC54" s="38" t="s">
        <v>127</v>
      </c>
      <c r="AD54" s="128" t="s">
        <v>128</v>
      </c>
      <c r="AE54" s="75"/>
      <c r="AF54" s="125" t="s">
        <v>129</v>
      </c>
      <c r="AG54" s="50" t="s">
        <v>46</v>
      </c>
      <c r="AH54" s="50" t="s">
        <v>129</v>
      </c>
      <c r="AI54" s="125" t="s">
        <v>129</v>
      </c>
      <c r="AJ54" s="50" t="s">
        <v>32</v>
      </c>
    </row>
    <row r="55" spans="27:36" ht="13.5" thickTop="1">
      <c r="AA55" s="29">
        <v>1</v>
      </c>
      <c r="AB55" s="39">
        <v>25</v>
      </c>
      <c r="AC55" s="39">
        <f>0.344*POWER(AD55,-0.5478)</f>
        <v>0.0017046337622271509</v>
      </c>
      <c r="AD55" s="110">
        <f>AF55*$O$12</f>
        <v>16129.000000000002</v>
      </c>
      <c r="AE55" s="51">
        <f>$O$12/AF55</f>
        <v>99.99999999999999</v>
      </c>
      <c r="AF55" s="124">
        <f>AB55/$O$11*$O$12</f>
        <v>12.700000000000001</v>
      </c>
      <c r="AG55" s="51">
        <f>AC55*AD55</f>
        <v>27.49403795096172</v>
      </c>
      <c r="AH55" s="53">
        <f>SQRT(AD55/AE55)</f>
        <v>12.700000000000001</v>
      </c>
      <c r="AI55" s="112">
        <f>(AH55*AE55)</f>
        <v>1270</v>
      </c>
      <c r="AJ55" s="55">
        <f>(($AC$2/AH55)+($AC$3/AI55))*100+5</f>
        <v>105.99999999999997</v>
      </c>
    </row>
    <row r="56" spans="27:36" ht="12.75">
      <c r="AA56" s="29">
        <v>2</v>
      </c>
      <c r="AB56" s="39">
        <v>50</v>
      </c>
      <c r="AC56" s="39">
        <f>0.275*POWER(AD56,-0.5478)</f>
        <v>0.0009321828432735154</v>
      </c>
      <c r="AD56" s="110">
        <f>AF56*$O$12</f>
        <v>32258.000000000004</v>
      </c>
      <c r="AE56" s="51">
        <f>$O$12/AF56</f>
        <v>49.99999999999999</v>
      </c>
      <c r="AF56" s="124">
        <f>AB56/$O$11*$O$12</f>
        <v>25.400000000000002</v>
      </c>
      <c r="AG56" s="51">
        <f>AC56*AD56</f>
        <v>30.070354158317063</v>
      </c>
      <c r="AH56" s="53">
        <f>SQRT(AD56/AE56)</f>
        <v>25.400000000000002</v>
      </c>
      <c r="AI56" s="112">
        <f>(AH56*AE56)</f>
        <v>1270</v>
      </c>
      <c r="AJ56" s="55">
        <f>(($AC$2/AH56)+($AC$3/AI56))*100+5</f>
        <v>55.99999999999999</v>
      </c>
    </row>
    <row r="57" spans="27:36" ht="12.75">
      <c r="AA57" s="29">
        <v>3</v>
      </c>
      <c r="AB57" s="39">
        <v>100</v>
      </c>
      <c r="AC57" s="39">
        <f>0.206*POWER(AD57,-0.5478)</f>
        <v>0.0004776737771061182</v>
      </c>
      <c r="AD57" s="110">
        <f>AF57*$O$12</f>
        <v>64516.00000000001</v>
      </c>
      <c r="AE57" s="51">
        <f>$O$12/AF57</f>
        <v>24.999999999999996</v>
      </c>
      <c r="AF57" s="124">
        <f>AB57/$O$11*$O$12</f>
        <v>50.800000000000004</v>
      </c>
      <c r="AG57" s="51">
        <f>AC57*AD57</f>
        <v>30.817601403778326</v>
      </c>
      <c r="AH57" s="53">
        <f>SQRT(AD57/AE57)</f>
        <v>50.800000000000004</v>
      </c>
      <c r="AI57" s="112">
        <f>(AH57*AE57)</f>
        <v>1270</v>
      </c>
      <c r="AJ57" s="55">
        <f>(($AC$2/AH57)+($AC$3/AI57))*100+5</f>
        <v>30.999999999999996</v>
      </c>
    </row>
    <row r="58" spans="27:36" ht="12.75">
      <c r="AA58" s="29">
        <v>4</v>
      </c>
      <c r="AB58" s="39">
        <v>250</v>
      </c>
      <c r="AC58" s="39">
        <f>0.206*POWER(AD58,-0.5478)</f>
        <v>0.0002891610970096122</v>
      </c>
      <c r="AD58" s="110">
        <f>AF58*$O$12</f>
        <v>161290</v>
      </c>
      <c r="AE58" s="51">
        <f>$O$12/AF58</f>
        <v>10</v>
      </c>
      <c r="AF58" s="124">
        <f>AB58/$O$11*$O$12</f>
        <v>127</v>
      </c>
      <c r="AG58" s="51">
        <f>AC58*AD58</f>
        <v>46.63879333668036</v>
      </c>
      <c r="AH58" s="53">
        <f>SQRT(AD58/AE58)</f>
        <v>127</v>
      </c>
      <c r="AI58" s="112">
        <f>(AH58*AE58)</f>
        <v>1270</v>
      </c>
      <c r="AJ58" s="55">
        <f>(($AC$2/AH58)+($AC$3/AI58))*100+5</f>
        <v>15.999999999999998</v>
      </c>
    </row>
    <row r="59" spans="27:36" ht="13.5" thickBot="1">
      <c r="AA59" s="29">
        <v>5</v>
      </c>
      <c r="AB59" s="39">
        <v>1000</v>
      </c>
      <c r="AC59" s="39">
        <f>0.325*POWER(AD59,-0.5478)</f>
        <v>0.00021347525502391084</v>
      </c>
      <c r="AD59" s="110">
        <f>AF59*$O$12</f>
        <v>645160</v>
      </c>
      <c r="AE59" s="51">
        <f>$O$12/AF59</f>
        <v>2.5</v>
      </c>
      <c r="AF59" s="124">
        <f>AB59/$O$11*$O$12</f>
        <v>508</v>
      </c>
      <c r="AG59" s="51">
        <f>AC59*AD59</f>
        <v>137.7256955312263</v>
      </c>
      <c r="AH59" s="53">
        <f>SQRT(AD59/AE59)</f>
        <v>508</v>
      </c>
      <c r="AI59" s="112">
        <f>(AH59*AE59)</f>
        <v>1270</v>
      </c>
      <c r="AJ59" s="55">
        <f>(($AC$2/AH59)+($AC$3/AI59))*100+5</f>
        <v>8.5</v>
      </c>
    </row>
    <row r="60" spans="27:36" ht="13.5" thickBot="1">
      <c r="AA60" s="57" t="s">
        <v>5</v>
      </c>
      <c r="AB60" s="2"/>
      <c r="AC60" s="2"/>
      <c r="AD60" s="114"/>
      <c r="AE60" s="103"/>
      <c r="AH60" s="2"/>
      <c r="AI60" s="114"/>
      <c r="AJ60" s="2"/>
    </row>
    <row r="61" spans="27:36" ht="12.75">
      <c r="AA61" s="27"/>
      <c r="AB61" s="30"/>
      <c r="AC61" s="30"/>
      <c r="AD61" s="129"/>
      <c r="AE61" s="104"/>
      <c r="AF61" s="119"/>
      <c r="AG61" s="42"/>
      <c r="AH61" s="40"/>
      <c r="AI61" s="129"/>
      <c r="AJ61" s="43"/>
    </row>
    <row r="62" spans="27:36" ht="14.25">
      <c r="AA62" s="58"/>
      <c r="AB62" s="31" t="s">
        <v>17</v>
      </c>
      <c r="AC62" s="32" t="s">
        <v>18</v>
      </c>
      <c r="AD62" s="130" t="s">
        <v>34</v>
      </c>
      <c r="AE62" s="44" t="s">
        <v>37</v>
      </c>
      <c r="AF62" s="120" t="s">
        <v>78</v>
      </c>
      <c r="AG62" s="46" t="s">
        <v>44</v>
      </c>
      <c r="AH62" s="47" t="s">
        <v>38</v>
      </c>
      <c r="AI62" s="131" t="s">
        <v>39</v>
      </c>
      <c r="AJ62" s="47" t="s">
        <v>19</v>
      </c>
    </row>
    <row r="63" spans="27:36" ht="12.75">
      <c r="AA63" s="28" t="s">
        <v>20</v>
      </c>
      <c r="AB63" s="33" t="s">
        <v>21</v>
      </c>
      <c r="AC63" s="34" t="s">
        <v>22</v>
      </c>
      <c r="AD63" s="198" t="s">
        <v>36</v>
      </c>
      <c r="AE63" s="105" t="s">
        <v>23</v>
      </c>
      <c r="AF63" s="121" t="s">
        <v>28</v>
      </c>
      <c r="AG63" s="48" t="s">
        <v>22</v>
      </c>
      <c r="AH63" s="48" t="s">
        <v>24</v>
      </c>
      <c r="AI63" s="121" t="s">
        <v>24</v>
      </c>
      <c r="AJ63" s="48" t="s">
        <v>25</v>
      </c>
    </row>
    <row r="64" spans="27:36" ht="12.75">
      <c r="AA64" s="1"/>
      <c r="AB64" s="35" t="s">
        <v>35</v>
      </c>
      <c r="AC64" s="36" t="s">
        <v>26</v>
      </c>
      <c r="AD64" s="199"/>
      <c r="AE64" s="106" t="s">
        <v>27</v>
      </c>
      <c r="AF64" s="122"/>
      <c r="AG64" s="49" t="s">
        <v>45</v>
      </c>
      <c r="AH64" s="49" t="s">
        <v>28</v>
      </c>
      <c r="AI64" s="122" t="s">
        <v>29</v>
      </c>
      <c r="AJ64" s="49" t="s">
        <v>30</v>
      </c>
    </row>
    <row r="65" spans="27:36" ht="13.5" thickBot="1">
      <c r="AA65" s="59"/>
      <c r="AB65" s="37" t="s">
        <v>31</v>
      </c>
      <c r="AC65" s="38" t="s">
        <v>127</v>
      </c>
      <c r="AD65" s="128" t="s">
        <v>128</v>
      </c>
      <c r="AE65" s="75"/>
      <c r="AF65" s="125" t="s">
        <v>129</v>
      </c>
      <c r="AG65" s="50" t="s">
        <v>46</v>
      </c>
      <c r="AH65" s="50" t="s">
        <v>129</v>
      </c>
      <c r="AI65" s="125" t="s">
        <v>129</v>
      </c>
      <c r="AJ65" s="50" t="s">
        <v>32</v>
      </c>
    </row>
    <row r="66" spans="27:36" ht="13.5" thickTop="1">
      <c r="AA66" s="29">
        <v>1</v>
      </c>
      <c r="AB66" s="39">
        <v>25</v>
      </c>
      <c r="AC66" s="39">
        <f>0.344*POWER(AD66,-0.5478)</f>
        <v>0.0024919270104758998</v>
      </c>
      <c r="AD66" s="110">
        <f>AF66*$R$12</f>
        <v>8064.500000000001</v>
      </c>
      <c r="AE66" s="51">
        <f>$R$12/AF66</f>
        <v>199.99999999999997</v>
      </c>
      <c r="AF66" s="124">
        <f>AB66/$R$11*$R$12</f>
        <v>6.3500000000000005</v>
      </c>
      <c r="AG66" s="51">
        <f>AC66*AD66</f>
        <v>20.096145375982896</v>
      </c>
      <c r="AH66" s="53">
        <f>SQRT(AD66/AE66)</f>
        <v>6.3500000000000005</v>
      </c>
      <c r="AI66" s="112">
        <f>(AH66*AE66)</f>
        <v>1270</v>
      </c>
      <c r="AJ66" s="55">
        <f>(($AC$2/AH66)+($AC$3/AI66))*100+5</f>
        <v>205.99999999999997</v>
      </c>
    </row>
    <row r="67" spans="27:36" ht="12.75">
      <c r="AA67" s="29">
        <v>2</v>
      </c>
      <c r="AB67" s="39">
        <v>50</v>
      </c>
      <c r="AC67" s="39">
        <f>0.275*POWER(AD67,-0.5478)</f>
        <v>0.0013627159436408914</v>
      </c>
      <c r="AD67" s="110">
        <f>AF67*$R$12</f>
        <v>16129.000000000002</v>
      </c>
      <c r="AE67" s="51">
        <f>$R$12/AF67</f>
        <v>99.99999999999999</v>
      </c>
      <c r="AF67" s="124">
        <f>AB67/$R$11*$R$12</f>
        <v>12.700000000000001</v>
      </c>
      <c r="AG67" s="51">
        <f>AC67*AD67</f>
        <v>21.97924545498394</v>
      </c>
      <c r="AH67" s="53">
        <f>SQRT(AD67/AE67)</f>
        <v>12.700000000000001</v>
      </c>
      <c r="AI67" s="112">
        <f>(AH67*AE67)</f>
        <v>1270</v>
      </c>
      <c r="AJ67" s="55">
        <f>(($AC$2/AH67)+($AC$3/AI67))*100+5</f>
        <v>105.99999999999997</v>
      </c>
    </row>
    <row r="68" spans="27:36" ht="12.75">
      <c r="AA68" s="29">
        <v>3</v>
      </c>
      <c r="AB68" s="39">
        <v>100</v>
      </c>
      <c r="AC68" s="39">
        <f>0.206*POWER(AD68,-0.5478)</f>
        <v>0.000698289693506706</v>
      </c>
      <c r="AD68" s="110">
        <f>AF68*$R$12</f>
        <v>32258.000000000004</v>
      </c>
      <c r="AE68" s="51">
        <f>$R$12/AF68</f>
        <v>49.99999999999999</v>
      </c>
      <c r="AF68" s="124">
        <f>AB68/$R$11*$R$12</f>
        <v>25.400000000000002</v>
      </c>
      <c r="AG68" s="51">
        <f>AC68*AD68</f>
        <v>22.525428933139324</v>
      </c>
      <c r="AH68" s="53">
        <f>SQRT(AD68/AE68)</f>
        <v>25.400000000000002</v>
      </c>
      <c r="AI68" s="112">
        <f>(AH68*AE68)</f>
        <v>1270</v>
      </c>
      <c r="AJ68" s="55">
        <f>(($AC$2/AH68)+($AC$3/AI68))*100+5</f>
        <v>55.99999999999999</v>
      </c>
    </row>
    <row r="69" spans="27:36" ht="12.75">
      <c r="AA69" s="29">
        <v>4</v>
      </c>
      <c r="AB69" s="39">
        <v>250</v>
      </c>
      <c r="AC69" s="39">
        <f>0.206*POWER(AD69,-0.5478)</f>
        <v>0.0004227115313471508</v>
      </c>
      <c r="AD69" s="110">
        <f>AF69*$R$12</f>
        <v>80645</v>
      </c>
      <c r="AE69" s="51">
        <f>$R$12/AF69</f>
        <v>20</v>
      </c>
      <c r="AF69" s="124">
        <f>AB69/$R$11*$R$12</f>
        <v>63.5</v>
      </c>
      <c r="AG69" s="51">
        <f>AC69*AD69</f>
        <v>34.089571445490975</v>
      </c>
      <c r="AH69" s="53">
        <f>SQRT(AD69/AE69)</f>
        <v>63.5</v>
      </c>
      <c r="AI69" s="112">
        <f>(AH69*AE69)</f>
        <v>1270</v>
      </c>
      <c r="AJ69" s="55">
        <f>(($AC$2/AH69)+($AC$3/AI69))*100+5</f>
        <v>26</v>
      </c>
    </row>
    <row r="70" spans="27:36" ht="12.75">
      <c r="AA70" s="29">
        <v>5</v>
      </c>
      <c r="AB70" s="39">
        <v>1000</v>
      </c>
      <c r="AC70" s="39">
        <f>0.325*POWER(AD70,-0.5478)</f>
        <v>0.000312069821594574</v>
      </c>
      <c r="AD70" s="110">
        <f>AF70*$R$12</f>
        <v>322580</v>
      </c>
      <c r="AE70" s="51">
        <f>$R$12/AF70</f>
        <v>5</v>
      </c>
      <c r="AF70" s="124">
        <f>AB70/$R$11*$R$12</f>
        <v>254</v>
      </c>
      <c r="AG70" s="51">
        <f>AC70*AD70</f>
        <v>100.66748304997768</v>
      </c>
      <c r="AH70" s="53">
        <f>SQRT(AD70/AE70)</f>
        <v>254</v>
      </c>
      <c r="AI70" s="112">
        <f>(AH70*AE70)</f>
        <v>1270</v>
      </c>
      <c r="AJ70" s="55">
        <f>(($AC$2/AH70)+($AC$3/AI70))*100+5</f>
        <v>11</v>
      </c>
    </row>
  </sheetData>
  <sheetProtection password="CADF" sheet="1" objects="1" scenarios="1" selectLockedCells="1"/>
  <mergeCells count="85">
    <mergeCell ref="A31:T31"/>
    <mergeCell ref="I22:K22"/>
    <mergeCell ref="F22:H22"/>
    <mergeCell ref="C22:E22"/>
    <mergeCell ref="R22:T22"/>
    <mergeCell ref="O22:Q22"/>
    <mergeCell ref="L11:M11"/>
    <mergeCell ref="I12:J12"/>
    <mergeCell ref="L12:M12"/>
    <mergeCell ref="AD8:AD9"/>
    <mergeCell ref="A2:T2"/>
    <mergeCell ref="A16:T16"/>
    <mergeCell ref="A4:S4"/>
    <mergeCell ref="C11:D11"/>
    <mergeCell ref="AA1:AB1"/>
    <mergeCell ref="AC1:AD1"/>
    <mergeCell ref="AA2:AB2"/>
    <mergeCell ref="AC2:AD2"/>
    <mergeCell ref="AA3:AB3"/>
    <mergeCell ref="AC3:AD3"/>
    <mergeCell ref="AD63:AD64"/>
    <mergeCell ref="O43:P43"/>
    <mergeCell ref="R43:S43"/>
    <mergeCell ref="O44:P44"/>
    <mergeCell ref="R44:S44"/>
    <mergeCell ref="O45:P45"/>
    <mergeCell ref="R45:S45"/>
    <mergeCell ref="C44:D44"/>
    <mergeCell ref="F44:G44"/>
    <mergeCell ref="I44:J44"/>
    <mergeCell ref="L44:M44"/>
    <mergeCell ref="AD41:AD42"/>
    <mergeCell ref="AD52:AD53"/>
    <mergeCell ref="C45:D45"/>
    <mergeCell ref="F45:G45"/>
    <mergeCell ref="I45:J45"/>
    <mergeCell ref="L45:M45"/>
    <mergeCell ref="C41:D41"/>
    <mergeCell ref="F41:G41"/>
    <mergeCell ref="C43:D43"/>
    <mergeCell ref="F43:G43"/>
    <mergeCell ref="I43:J43"/>
    <mergeCell ref="L43:M43"/>
    <mergeCell ref="C42:D42"/>
    <mergeCell ref="F42:G42"/>
    <mergeCell ref="I42:J42"/>
    <mergeCell ref="L42:M42"/>
    <mergeCell ref="O42:P42"/>
    <mergeCell ref="R42:S42"/>
    <mergeCell ref="I40:J40"/>
    <mergeCell ref="L40:M40"/>
    <mergeCell ref="O40:P40"/>
    <mergeCell ref="R40:S40"/>
    <mergeCell ref="O41:P41"/>
    <mergeCell ref="R41:S41"/>
    <mergeCell ref="B22:B23"/>
    <mergeCell ref="B21:S21"/>
    <mergeCell ref="L22:N22"/>
    <mergeCell ref="AD30:AD31"/>
    <mergeCell ref="I41:J41"/>
    <mergeCell ref="L41:M41"/>
    <mergeCell ref="B37:S37"/>
    <mergeCell ref="B38:B39"/>
    <mergeCell ref="C40:D40"/>
    <mergeCell ref="F40:G40"/>
    <mergeCell ref="F11:G11"/>
    <mergeCell ref="O12:P12"/>
    <mergeCell ref="R12:S12"/>
    <mergeCell ref="C12:D12"/>
    <mergeCell ref="F12:G12"/>
    <mergeCell ref="AD19:AD20"/>
    <mergeCell ref="H14:P14"/>
    <mergeCell ref="O11:P11"/>
    <mergeCell ref="R11:S11"/>
    <mergeCell ref="I11:J11"/>
    <mergeCell ref="A1:T1"/>
    <mergeCell ref="B7:C7"/>
    <mergeCell ref="O10:P10"/>
    <mergeCell ref="R10:S10"/>
    <mergeCell ref="C10:D10"/>
    <mergeCell ref="F10:G10"/>
    <mergeCell ref="B9:S9"/>
    <mergeCell ref="I10:J10"/>
    <mergeCell ref="L10:M10"/>
    <mergeCell ref="A3:S3"/>
  </mergeCells>
  <printOptions/>
  <pageMargins left="0.75" right="0.75" top="1" bottom="1" header="0.5" footer="0.5"/>
  <pageSetup fitToWidth="2" fitToHeight="1" horizontalDpi="600" verticalDpi="600" orientation="landscape"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Ticer Technologies</Company>
  <HyperlinkBase>www.ticertechnologies.com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TCR Resistor Calculator Rev. 09</dc:title>
  <dc:subject>embedded resistor calculators</dc:subject>
  <dc:creator>Rocky Hilburn, rhilburn@ticertechnologies.com</dc:creator>
  <cp:keywords>METRIC, embedded, passives, resistor, TCR</cp:keywords>
  <dc:description>METRIC!!  Contains calculators that can determine resistor size, power, and tolerance. Resistor value based on length and width. Resistor length and resistor width. 
Rev. 09 dated May 30, 2007 Etch Tolerances variables added.
Rev. 08 dated April 3, 2007 Power density algorithms added for more precise power handling calculations. 
Rev. 07 dated October 11, 2006 1000 OPS added. Protection password is ""</dc:description>
  <cp:lastModifiedBy>Thomas Sleasman</cp:lastModifiedBy>
  <cp:lastPrinted>2007-06-01T16:57:31Z</cp:lastPrinted>
  <dcterms:created xsi:type="dcterms:W3CDTF">2001-03-29T19:41:48Z</dcterms:created>
  <dcterms:modified xsi:type="dcterms:W3CDTF">2020-08-27T20:38:54Z</dcterms:modified>
  <cp:category>passives</cp:category>
  <cp:version/>
  <cp:contentType/>
  <cp:contentStatus/>
</cp:coreProperties>
</file>