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640" windowHeight="9690" activeTab="0"/>
  </bookViews>
  <sheets>
    <sheet name="Link Calculator" sheetId="1" r:id="rId1"/>
    <sheet name="Path Summary" sheetId="2" r:id="rId2"/>
    <sheet name="Data" sheetId="3" r:id="rId3"/>
    <sheet name="No Name" sheetId="4" state="hidden" r:id="rId4"/>
  </sheets>
  <definedNames>
    <definedName name="AntGain">'Data'!$O$69:$O$77</definedName>
    <definedName name="AntGain24">'Data'!$D$18:$D$25</definedName>
    <definedName name="AntGain58">'Data'!$H$18:$H$25</definedName>
    <definedName name="AntText">'Data'!$N$69:$N$77</definedName>
    <definedName name="AntText24">'Data'!$C$17:$C$25</definedName>
    <definedName name="AntText58">'Data'!$G$17:$G$25</definedName>
    <definedName name="ClimateFactor" localSheetId="2">'Data'!$S$21</definedName>
    <definedName name="ClimateFactor">#REF!</definedName>
    <definedName name="FeedLoss">'Data'!$O$82:$O$97</definedName>
    <definedName name="FeedLoss24">'Data'!$D$43:$D$57</definedName>
    <definedName name="FeedLoss58">'Data'!$H$43:$H$57</definedName>
    <definedName name="FeedText">'Data'!$N$82:$N$97</definedName>
    <definedName name="FeedText24">'Data'!$C$42:$C$57</definedName>
    <definedName name="FeedText58">'Data'!$G$42:$G$57</definedName>
    <definedName name="Gains24" localSheetId="2">'Data'!$D$18:$D$24</definedName>
    <definedName name="Gains24">#REF!</definedName>
    <definedName name="Lat1">'Data'!$L$41</definedName>
    <definedName name="lat1R">'Data'!$L$45</definedName>
    <definedName name="Lat2">'Data'!$L$43</definedName>
    <definedName name="lat2r">'Data'!$L$47</definedName>
    <definedName name="Lon1">'Data'!$L$42</definedName>
    <definedName name="lon1r">'Data'!$L$46</definedName>
    <definedName name="Lon2">'Data'!$L$44</definedName>
    <definedName name="lon2r">'Data'!$L$48</definedName>
    <definedName name="ProdSens">'Data'!$O$36:$O$40</definedName>
    <definedName name="ProdText">'Data'!$N$82:$N$97+'Data'!$N$36:$N$40</definedName>
    <definedName name="RxAntennaType" localSheetId="2">'Data'!$S$18</definedName>
    <definedName name="RxAntennaType">#REF!</definedName>
    <definedName name="RxFeedlineType" localSheetId="2">'Data'!$S$19</definedName>
    <definedName name="RxFeedlineType">#REF!</definedName>
    <definedName name="RxSens24">'Data'!$D$76:$D$81</definedName>
    <definedName name="RxSens58">'Data'!$H$89:$H$95</definedName>
    <definedName name="RxText24">'Data'!$C$76:$C$81</definedName>
    <definedName name="RxText58">'Data'!$G$89:$G$95</definedName>
    <definedName name="TerrainFactor" localSheetId="2">'Data'!$S$20</definedName>
    <definedName name="TerrainFactor">#REF!</definedName>
    <definedName name="TxAntennaType" localSheetId="2">'Data'!$S$16</definedName>
    <definedName name="TxAntennaType">#REF!</definedName>
    <definedName name="TxFeedlineType" localSheetId="2">'Data'!$S$17</definedName>
    <definedName name="TxFeedlineType">#REF!</definedName>
  </definedNames>
  <calcPr fullCalcOnLoad="1"/>
</workbook>
</file>

<file path=xl/sharedStrings.xml><?xml version="1.0" encoding="utf-8"?>
<sst xmlns="http://schemas.openxmlformats.org/spreadsheetml/2006/main" count="269" uniqueCount="206">
  <si>
    <t>Path Loss</t>
  </si>
  <si>
    <t>Fade Margin</t>
  </si>
  <si>
    <t>2.4 GHz Antenna Gains</t>
  </si>
  <si>
    <t>5.8 GHz Antenna Gains</t>
  </si>
  <si>
    <t>Path Length</t>
  </si>
  <si>
    <t>Dry</t>
  </si>
  <si>
    <t>Average</t>
  </si>
  <si>
    <t>Humid</t>
  </si>
  <si>
    <t>Smooth</t>
  </si>
  <si>
    <t>Mountainous</t>
  </si>
  <si>
    <t>Availability</t>
  </si>
  <si>
    <t>dBm</t>
  </si>
  <si>
    <t>dB</t>
  </si>
  <si>
    <t>Input Path Length</t>
  </si>
  <si>
    <t>Receiver Specifications</t>
  </si>
  <si>
    <t>2.4 GHz Feedline Loss</t>
  </si>
  <si>
    <t>5.8 GHz Feedline Loss</t>
  </si>
  <si>
    <t xml:space="preserve"> per 100 ft</t>
  </si>
  <si>
    <t>1xE1, Split System (-91 dBm)</t>
  </si>
  <si>
    <t>2xE1, Split System (-87 dBm)</t>
  </si>
  <si>
    <t>2xE1, Split System (-85 dBm)</t>
  </si>
  <si>
    <t>2xT1, Split System (-91 dBm)</t>
  </si>
  <si>
    <t>1xE1, Split System (-89 dBm)</t>
  </si>
  <si>
    <t>2xT1, Split System (-89 dBm)</t>
  </si>
  <si>
    <t>Additional Tx Losses</t>
  </si>
  <si>
    <t>m</t>
  </si>
  <si>
    <t>Path Length Choice</t>
  </si>
  <si>
    <t>Times Microwave LMR-400 (6.8 dB)</t>
  </si>
  <si>
    <t>Andrew 3/8" SuperFlex FSJ2 (8.67 dB)</t>
  </si>
  <si>
    <t>Andrew 1/2" SuperFlex FSJ4 (5.37 dB)</t>
  </si>
  <si>
    <t>Andrew 3/8" LDF2 (5.91 dB)</t>
  </si>
  <si>
    <t>Times Microwave LMR-500 (5.48 dB)</t>
  </si>
  <si>
    <t>Times Microwave LMR-600 (4.42 dB)</t>
  </si>
  <si>
    <t>Times Microwave LMR-900 (2.98 dB)</t>
  </si>
  <si>
    <t>Times Microwave LMR-1200 (2.26 dB)</t>
  </si>
  <si>
    <t>Times Microwave LMR-1700 (1.71 dB)</t>
  </si>
  <si>
    <t>Andrew EW20 Waveguide (0.45 dB)</t>
  </si>
  <si>
    <t>Andrew 1/2" LDF4 (3.91 dB)</t>
  </si>
  <si>
    <t>Andrew 5/8" LDF4.5 (2.44 dB)</t>
  </si>
  <si>
    <t>Andrew 7/8" LDF5 (2.27 dB)</t>
  </si>
  <si>
    <t>Andrew 1 1/4" LDF6 (1.68 dB)</t>
  </si>
  <si>
    <t>Andrew 1 5/8" LDF7 (1.44 dB)</t>
  </si>
  <si>
    <t>Andrew 3/8" SuperFlex FSJ2 (11.3 dB)</t>
  </si>
  <si>
    <t>Times Microwave LMR-400 (10.8 dB)</t>
  </si>
  <si>
    <t>Andrew 3/8" LDF2 (9.79 dB)</t>
  </si>
  <si>
    <t>Andrew 1/2" SuperFlex FSJ4 (10.5 dB)</t>
  </si>
  <si>
    <t>Times Microwave LMR-500 (8.90 dB)</t>
  </si>
  <si>
    <t>Times Microwave LMR-600 (7.30 dB)</t>
  </si>
  <si>
    <t>Andrew 1/2" LDF4 (6.11 dB)</t>
  </si>
  <si>
    <t>Times Microwave LMR-900 (4.90 dB)</t>
  </si>
  <si>
    <t>Andrew 5/8" LDF4.5 (4.76 dB)</t>
  </si>
  <si>
    <t>Andrew EW52 Waveguide (1.23 dB)</t>
  </si>
  <si>
    <t>2.4 GHz Band</t>
  </si>
  <si>
    <t xml:space="preserve">5.8 GHz Band </t>
  </si>
  <si>
    <t>4203, 2xT1 (-90 dBm)</t>
  </si>
  <si>
    <t>ADTRAN Microwave Link Budget Tool</t>
  </si>
  <si>
    <t>v0.5</t>
  </si>
  <si>
    <t>0.1 mile resolution on path length</t>
  </si>
  <si>
    <t>Site A</t>
  </si>
  <si>
    <t>Site B</t>
  </si>
  <si>
    <t>Transmitter Power</t>
  </si>
  <si>
    <t>Antenna Selection</t>
  </si>
  <si>
    <t xml:space="preserve">  Antenna Type</t>
  </si>
  <si>
    <t xml:space="preserve">  Custom Gain</t>
  </si>
  <si>
    <t>Feedline Selection</t>
  </si>
  <si>
    <t>Feedline Length</t>
  </si>
  <si>
    <t>Additional Losses</t>
  </si>
  <si>
    <t>Latitude</t>
  </si>
  <si>
    <t>Longitude</t>
  </si>
  <si>
    <t>Yearly Outage</t>
  </si>
  <si>
    <t>Product Selection</t>
  </si>
  <si>
    <t>Frequency Band</t>
  </si>
  <si>
    <t>Terrain Type</t>
  </si>
  <si>
    <t>Climate Type</t>
  </si>
  <si>
    <t>Path</t>
  </si>
  <si>
    <t>Site Name</t>
  </si>
  <si>
    <t xml:space="preserve">   Custom Loss</t>
  </si>
  <si>
    <t>Frequency Bands</t>
  </si>
  <si>
    <t>System Variables</t>
  </si>
  <si>
    <t xml:space="preserve"> Climate Factor</t>
  </si>
  <si>
    <t xml:space="preserve"> Terrain Factor</t>
  </si>
  <si>
    <t>Product Table</t>
  </si>
  <si>
    <t>2.4 GHz</t>
  </si>
  <si>
    <t>5.8 GHz</t>
  </si>
  <si>
    <t>Antenna Table</t>
  </si>
  <si>
    <t>Feedline Table</t>
  </si>
  <si>
    <t>Site A Feedline Type</t>
  </si>
  <si>
    <t>Site A Custom Gain</t>
  </si>
  <si>
    <t>Site A Antenna Type</t>
  </si>
  <si>
    <t>Site B AntennaType</t>
  </si>
  <si>
    <t>Site B Custom Gain</t>
  </si>
  <si>
    <t>Site B Feedline Type</t>
  </si>
  <si>
    <t>Site A Custom Loss</t>
  </si>
  <si>
    <t>Site A Feedline Length</t>
  </si>
  <si>
    <t>Site B Feedline Length</t>
  </si>
  <si>
    <t>Site A Additional Losses</t>
  </si>
  <si>
    <t xml:space="preserve">Site B Additional Losses </t>
  </si>
  <si>
    <t>ft</t>
  </si>
  <si>
    <t>(DMS)</t>
  </si>
  <si>
    <t>Site B Custom Loss</t>
  </si>
  <si>
    <t>Calculated Path Length</t>
  </si>
  <si>
    <t xml:space="preserve"> miles</t>
  </si>
  <si>
    <t>Frequency  (GHz)</t>
  </si>
  <si>
    <t xml:space="preserve"> dB</t>
  </si>
  <si>
    <t>Frequency</t>
  </si>
  <si>
    <t>Tx Antenna Gain</t>
  </si>
  <si>
    <t>Rx Antenna Gain</t>
  </si>
  <si>
    <t>Tx Feedline Loss</t>
  </si>
  <si>
    <t>Additional Tx Plant Loss</t>
  </si>
  <si>
    <t>Rx Feedline Loss</t>
  </si>
  <si>
    <t>Rx Signal Level</t>
  </si>
  <si>
    <t>Rx Sensitivity</t>
  </si>
  <si>
    <t>Outage Time</t>
  </si>
  <si>
    <t>min</t>
  </si>
  <si>
    <t>Tx Power</t>
  </si>
  <si>
    <t xml:space="preserve"> GHz</t>
  </si>
  <si>
    <t xml:space="preserve"> dBi</t>
  </si>
  <si>
    <t xml:space="preserve"> dBm</t>
  </si>
  <si>
    <t xml:space="preserve"> dB </t>
  </si>
  <si>
    <t xml:space="preserve"> dBm EIRP</t>
  </si>
  <si>
    <t xml:space="preserve"> min</t>
  </si>
  <si>
    <t>ADTRAN Microwave Path Budget Summary</t>
  </si>
  <si>
    <t>Additional Rx Plant Loss</t>
  </si>
  <si>
    <t>User Selectable Gain</t>
  </si>
  <si>
    <t>Use Selectable Loss (dB/100 ft)</t>
  </si>
  <si>
    <t>Site A Antenna Gain</t>
  </si>
  <si>
    <t>Site A Feedline Loss per 100 ft</t>
  </si>
  <si>
    <t>Site B Antenna Gain</t>
  </si>
  <si>
    <r>
      <t>Site B</t>
    </r>
    <r>
      <rPr>
        <b/>
        <sz val="10"/>
        <rFont val="Arial"/>
        <family val="2"/>
      </rPr>
      <t xml:space="preserve"> Feedline Loss per 100 ft</t>
    </r>
  </si>
  <si>
    <t xml:space="preserve">   Feedline Type (loss dB/100 ft)</t>
  </si>
  <si>
    <t>km</t>
  </si>
  <si>
    <t>Lat 1</t>
  </si>
  <si>
    <t>Lon 1</t>
  </si>
  <si>
    <t>Lat 2</t>
  </si>
  <si>
    <t>Lon 2</t>
  </si>
  <si>
    <t>Name</t>
  </si>
  <si>
    <t>Lat 1 rads</t>
  </si>
  <si>
    <t>Lon 1 rads</t>
  </si>
  <si>
    <t>Lat 2 rads</t>
  </si>
  <si>
    <t>Lon 2 rads</t>
  </si>
  <si>
    <t>Far End Transmitter Power</t>
  </si>
  <si>
    <t>Site A Feedline Loss</t>
  </si>
  <si>
    <t>Site B Feedline Loss</t>
  </si>
  <si>
    <t>Receiver</t>
  </si>
  <si>
    <t>Transmitter</t>
  </si>
  <si>
    <t>Path Name</t>
  </si>
  <si>
    <t>Change History</t>
  </si>
  <si>
    <t>v0.8 - added 4206</t>
  </si>
  <si>
    <t>v0.9 - added Nx64</t>
  </si>
  <si>
    <t>2210/3202, Nx64 (-86 dBm)</t>
  </si>
  <si>
    <t>v0.10 - don't dsiplay coordiantes if direct path length input</t>
  </si>
  <si>
    <t>4205,  ISM Band DS3 (-78 dBm)</t>
  </si>
  <si>
    <t>5045, 45 Mbps Switch (-78 dBm)</t>
  </si>
  <si>
    <t>4305, U-NII DS3  (-78 dBm)</t>
  </si>
  <si>
    <t>4206, 4xT1 (-90 dBm)</t>
  </si>
  <si>
    <t>4106, 4xT1 (-93 dBm)</t>
  </si>
  <si>
    <t>2' Dish - 22 dB</t>
  </si>
  <si>
    <t>3' Dish - 25 dB</t>
  </si>
  <si>
    <t>4' Dish - 27 dB</t>
  </si>
  <si>
    <t>6' Dish - 31 dB</t>
  </si>
  <si>
    <t>8' Dish - 33 dB</t>
  </si>
  <si>
    <t>10' Dish - 35 dB</t>
  </si>
  <si>
    <t>12' Dish - 37 dB</t>
  </si>
  <si>
    <t>2' Dish - 30 dB</t>
  </si>
  <si>
    <t>3' Dish - 33 dB</t>
  </si>
  <si>
    <t>4' Dish - 35 dB</t>
  </si>
  <si>
    <t>6' Dish - 39 dB</t>
  </si>
  <si>
    <t>8' Dish - 41 dB</t>
  </si>
  <si>
    <t>10' Dish - 43 dB</t>
  </si>
  <si>
    <t>12' Dish - 45 dB</t>
  </si>
  <si>
    <t>14' Dish - 46 dB</t>
  </si>
  <si>
    <t>4108, 8xT1 (-90 dBm)</t>
  </si>
  <si>
    <t>4208, 8xT1 (-85 dBm)</t>
  </si>
  <si>
    <t>4202, 2xT1 (-93 dBm)</t>
  </si>
  <si>
    <t>v0.17 - added 4x02</t>
  </si>
  <si>
    <t xml:space="preserve"> </t>
  </si>
  <si>
    <t>4102, 2xT1 (-96 dBm)</t>
  </si>
  <si>
    <t>Site A Tx Power Slider</t>
  </si>
  <si>
    <t>Site B Tx Power Slider</t>
  </si>
  <si>
    <t>6200/6320 Split, 8xT1 (-85 dBm)</t>
  </si>
  <si>
    <t>6200/6320 Split, 4xT1 (-89 dBm)</t>
  </si>
  <si>
    <t>6200/6320 Split, 2xT1 (-92 dBm)</t>
  </si>
  <si>
    <t>6200/6320 Split, 8xE1 (-83 dBm)</t>
  </si>
  <si>
    <t>6200/6320 Split, 4xE1 (-87 dBm)</t>
  </si>
  <si>
    <t>6200/6320 Split, 2xE1 (-90 dBm)</t>
  </si>
  <si>
    <t>6200/6320 Split, 16 Mbps Ethernet (-83 dBm)</t>
  </si>
  <si>
    <t>6200/6320 Split, 8 Mbps Ethernet (-87 dBm)</t>
  </si>
  <si>
    <t>6200/6320 Split, 4 Mbps Ethernet (-90 dBm)</t>
  </si>
  <si>
    <t>6420 Integrated, 8xT1 (-85 dBm)</t>
  </si>
  <si>
    <t>6420 Integrated, 4xT1 (-89 dBm)</t>
  </si>
  <si>
    <t>6420 Integrated, 2xT1 (-92 dBm)</t>
  </si>
  <si>
    <t>6420 Integrated, 8xE1 (-83 dBm)</t>
  </si>
  <si>
    <t>6420 Integrated, 4xE1 (-87 dBm)</t>
  </si>
  <si>
    <t>6420 Integrated, 2xE1 (-90 dBm)</t>
  </si>
  <si>
    <t>6420 Integrated, 16 Mbps Ethernet (-83 dBm)</t>
  </si>
  <si>
    <t>6420 Integrated, 8 Mbps Ethernet (-87 dBm)</t>
  </si>
  <si>
    <t>6420 Integrated, 4 Mbps Ethernet (-90 dBm)</t>
  </si>
  <si>
    <t>6410 Integrated, 8xT1 (-86 dBm)</t>
  </si>
  <si>
    <t>6410 Integrated, 2xT1 (-93 dBm)</t>
  </si>
  <si>
    <t>6410 Integrated, 8xE1 (-84 dBm)</t>
  </si>
  <si>
    <t>6410 Integrated, 2xE1 (-91 dBm)</t>
  </si>
  <si>
    <t>6410 Integrated, 16 Mbps Ethernet (-84 dBm)</t>
  </si>
  <si>
    <t>6410 Integrated, 4 Mbps Ethernet (-91 dBm)</t>
  </si>
  <si>
    <t>6410 Integrated, 4xT1 (-90 dBm)</t>
  </si>
  <si>
    <t>6410 Integrated, 4xE1 (-88 dBm)</t>
  </si>
  <si>
    <t>6410 Integrated, 8 Mbps Ethernet (-88 dBm)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</si>
</sst>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%"/>
    <numFmt numFmtId="173" formatCode="0.0"/>
    <numFmt numFmtId="174" formatCode="0.000%"/>
    <numFmt numFmtId="175" formatCode="0.00000"/>
    <numFmt numFmtId="176" formatCode="0.00000E+00"/>
    <numFmt numFmtId="177" formatCode="0.00000%"/>
    <numFmt numFmtId="178" formatCode="0.0000000"/>
    <numFmt numFmtId="179" formatCode="0.0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trike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 wrapText="1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73" fontId="0" fillId="2" borderId="0" xfId="0" applyNumberFormat="1" applyFont="1" applyFill="1" applyBorder="1" applyAlignment="1">
      <alignment wrapText="1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173" fontId="0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73" fontId="0" fillId="2" borderId="8" xfId="0" applyNumberFormat="1" applyFont="1" applyFill="1" applyBorder="1" applyAlignment="1">
      <alignment wrapText="1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 applyProtection="1">
      <alignment/>
      <protection hidden="1"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/>
      <protection locked="0"/>
    </xf>
    <xf numFmtId="173" fontId="1" fillId="2" borderId="0" xfId="0" applyNumberFormat="1" applyFont="1" applyFill="1" applyBorder="1" applyAlignment="1">
      <alignment/>
    </xf>
    <xf numFmtId="173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2" fontId="1" fillId="2" borderId="0" xfId="0" applyNumberFormat="1" applyFont="1" applyFill="1" applyBorder="1" applyAlignment="1" applyProtection="1">
      <alignment/>
      <protection hidden="1"/>
    </xf>
    <xf numFmtId="2" fontId="1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 applyProtection="1">
      <alignment/>
      <protection hidden="1"/>
    </xf>
    <xf numFmtId="0" fontId="1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1" fontId="1" fillId="2" borderId="14" xfId="0" applyNumberFormat="1" applyFont="1" applyFill="1" applyBorder="1" applyAlignment="1" applyProtection="1">
      <alignment/>
      <protection hidden="1"/>
    </xf>
    <xf numFmtId="0" fontId="1" fillId="2" borderId="15" xfId="0" applyFont="1" applyFill="1" applyBorder="1" applyAlignment="1">
      <alignment/>
    </xf>
    <xf numFmtId="2" fontId="4" fillId="2" borderId="0" xfId="0" applyNumberFormat="1" applyFont="1" applyFill="1" applyBorder="1" applyAlignment="1" applyProtection="1">
      <alignment/>
      <protection hidden="1"/>
    </xf>
    <xf numFmtId="0" fontId="1" fillId="2" borderId="16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1" fillId="2" borderId="17" xfId="0" applyFont="1" applyFill="1" applyBorder="1" applyAlignment="1">
      <alignment/>
    </xf>
    <xf numFmtId="0" fontId="0" fillId="2" borderId="8" xfId="0" applyFill="1" applyBorder="1" applyAlignment="1">
      <alignment/>
    </xf>
    <xf numFmtId="1" fontId="1" fillId="2" borderId="8" xfId="0" applyNumberFormat="1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Fill="1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1" fillId="0" borderId="16" xfId="0" applyFont="1" applyFill="1" applyBorder="1" applyAlignment="1" applyProtection="1">
      <alignment/>
      <protection hidden="1" locked="0"/>
    </xf>
    <xf numFmtId="0" fontId="1" fillId="0" borderId="19" xfId="0" applyFont="1" applyFill="1" applyBorder="1" applyAlignment="1" applyProtection="1">
      <alignment/>
      <protection hidden="1" locked="0"/>
    </xf>
    <xf numFmtId="0" fontId="1" fillId="0" borderId="20" xfId="0" applyFont="1" applyFill="1" applyBorder="1" applyAlignment="1" applyProtection="1">
      <alignment/>
      <protection hidden="1" locked="0"/>
    </xf>
    <xf numFmtId="0" fontId="1" fillId="0" borderId="17" xfId="0" applyFont="1" applyFill="1" applyBorder="1" applyAlignment="1" applyProtection="1">
      <alignment/>
      <protection hidden="1" locked="0"/>
    </xf>
    <xf numFmtId="2" fontId="1" fillId="0" borderId="10" xfId="0" applyNumberFormat="1" applyFont="1" applyFill="1" applyBorder="1" applyAlignment="1" applyProtection="1">
      <alignment/>
      <protection hidden="1" locked="0"/>
    </xf>
    <xf numFmtId="0" fontId="1" fillId="0" borderId="17" xfId="0" applyFont="1" applyFill="1" applyBorder="1" applyAlignment="1" applyProtection="1">
      <alignment horizontal="left"/>
      <protection hidden="1" locked="0"/>
    </xf>
    <xf numFmtId="173" fontId="1" fillId="2" borderId="0" xfId="0" applyNumberFormat="1" applyFont="1" applyFill="1" applyBorder="1" applyAlignment="1">
      <alignment horizontal="center"/>
    </xf>
    <xf numFmtId="173" fontId="1" fillId="2" borderId="4" xfId="0" applyNumberFormat="1" applyFont="1" applyFill="1" applyBorder="1" applyAlignment="1">
      <alignment horizontal="center"/>
    </xf>
    <xf numFmtId="173" fontId="0" fillId="2" borderId="0" xfId="0" applyNumberFormat="1" applyFont="1" applyFill="1" applyBorder="1" applyAlignment="1" applyProtection="1">
      <alignment wrapText="1"/>
      <protection hidden="1"/>
    </xf>
    <xf numFmtId="179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176" fontId="1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11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4" fontId="1" fillId="0" borderId="0" xfId="0" applyNumberFormat="1" applyFont="1" applyFill="1" applyBorder="1" applyAlignment="1" applyProtection="1">
      <alignment/>
      <protection hidden="1"/>
    </xf>
    <xf numFmtId="173" fontId="0" fillId="2" borderId="21" xfId="0" applyNumberFormat="1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173" fontId="0" fillId="2" borderId="8" xfId="0" applyNumberFormat="1" applyFont="1" applyFill="1" applyBorder="1" applyAlignment="1" applyProtection="1">
      <alignment wrapText="1"/>
      <protection hidden="1"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" fillId="2" borderId="4" xfId="0" applyFont="1" applyFill="1" applyBorder="1" applyAlignment="1">
      <alignment horizontal="left"/>
    </xf>
    <xf numFmtId="173" fontId="0" fillId="0" borderId="0" xfId="0" applyNumberFormat="1" applyFont="1" applyAlignment="1">
      <alignment/>
    </xf>
    <xf numFmtId="173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73" fontId="0" fillId="2" borderId="8" xfId="0" applyNumberFormat="1" applyFont="1" applyFill="1" applyBorder="1" applyAlignment="1">
      <alignment/>
    </xf>
    <xf numFmtId="173" fontId="0" fillId="2" borderId="21" xfId="0" applyNumberFormat="1" applyFont="1" applyFill="1" applyBorder="1" applyAlignment="1">
      <alignment/>
    </xf>
    <xf numFmtId="173" fontId="0" fillId="2" borderId="0" xfId="0" applyNumberFormat="1" applyFont="1" applyFill="1" applyBorder="1" applyAlignment="1" applyProtection="1">
      <alignment/>
      <protection hidden="1"/>
    </xf>
    <xf numFmtId="173" fontId="0" fillId="2" borderId="1" xfId="0" applyNumberFormat="1" applyFont="1" applyFill="1" applyBorder="1" applyAlignment="1">
      <alignment/>
    </xf>
    <xf numFmtId="173" fontId="1" fillId="2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24" xfId="0" applyFont="1" applyFill="1" applyBorder="1" applyAlignment="1" applyProtection="1">
      <alignment horizontal="center"/>
      <protection hidden="1"/>
    </xf>
    <xf numFmtId="0" fontId="4" fillId="0" borderId="24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" fillId="0" borderId="16" xfId="0" applyFont="1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1" fillId="0" borderId="19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19" xfId="0" applyFont="1" applyFill="1" applyBorder="1" applyAlignment="1" applyProtection="1">
      <alignment/>
      <protection hidden="1"/>
    </xf>
    <xf numFmtId="0" fontId="1" fillId="0" borderId="20" xfId="0" applyFont="1" applyFill="1" applyBorder="1" applyAlignment="1" applyProtection="1">
      <alignment/>
      <protection hidden="1"/>
    </xf>
    <xf numFmtId="0" fontId="1" fillId="0" borderId="17" xfId="0" applyFont="1" applyFill="1" applyBorder="1" applyAlignment="1" applyProtection="1">
      <alignment/>
      <protection hidden="1"/>
    </xf>
    <xf numFmtId="0" fontId="1" fillId="0" borderId="18" xfId="0" applyFont="1" applyFill="1" applyBorder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4" fillId="0" borderId="25" xfId="0" applyFont="1" applyFill="1" applyBorder="1" applyAlignment="1" applyProtection="1">
      <alignment horizontal="center"/>
      <protection hidden="1"/>
    </xf>
    <xf numFmtId="0" fontId="4" fillId="0" borderId="26" xfId="0" applyFont="1" applyFill="1" applyBorder="1" applyAlignment="1" applyProtection="1">
      <alignment horizontal="center"/>
      <protection hidden="1"/>
    </xf>
    <xf numFmtId="16" fontId="4" fillId="0" borderId="19" xfId="0" applyNumberFormat="1" applyFont="1" applyFill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0" borderId="27" xfId="0" applyFont="1" applyFill="1" applyBorder="1" applyAlignment="1" applyProtection="1">
      <alignment/>
      <protection hidden="1"/>
    </xf>
    <xf numFmtId="0" fontId="0" fillId="0" borderId="28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 quotePrefix="1">
      <alignment/>
      <protection hidden="1"/>
    </xf>
    <xf numFmtId="0" fontId="1" fillId="0" borderId="19" xfId="0" applyFont="1" applyFill="1" applyBorder="1" applyAlignment="1" applyProtection="1" quotePrefix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 locked="0"/>
    </xf>
    <xf numFmtId="173" fontId="0" fillId="2" borderId="4" xfId="0" applyNumberFormat="1" applyFont="1" applyFill="1" applyBorder="1" applyAlignment="1">
      <alignment wrapText="1"/>
    </xf>
    <xf numFmtId="0" fontId="1" fillId="0" borderId="27" xfId="0" applyFont="1" applyFill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/>
      <protection hidden="1"/>
    </xf>
    <xf numFmtId="0" fontId="4" fillId="0" borderId="19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1" fillId="0" borderId="29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172" fontId="1" fillId="2" borderId="0" xfId="0" applyNumberFormat="1" applyFont="1" applyFill="1" applyBorder="1" applyAlignment="1">
      <alignment/>
    </xf>
    <xf numFmtId="172" fontId="1" fillId="2" borderId="0" xfId="0" applyNumberFormat="1" applyFont="1" applyFill="1" applyBorder="1" applyAlignment="1" applyProtection="1">
      <alignment/>
      <protection hidden="1"/>
    </xf>
    <xf numFmtId="172" fontId="1" fillId="2" borderId="0" xfId="0" applyNumberFormat="1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right"/>
      <protection/>
    </xf>
    <xf numFmtId="173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1" fillId="0" borderId="18" xfId="0" applyFont="1" applyFill="1" applyBorder="1" applyAlignment="1" applyProtection="1">
      <alignment/>
      <protection hidden="1" locked="0"/>
    </xf>
    <xf numFmtId="0" fontId="1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2" borderId="8" xfId="0" applyFill="1" applyBorder="1" applyAlignment="1" applyProtection="1">
      <alignment horizontal="left"/>
      <protection locked="0"/>
    </xf>
    <xf numFmtId="1" fontId="12" fillId="2" borderId="0" xfId="0" applyNumberFormat="1" applyFont="1" applyFill="1" applyBorder="1" applyAlignment="1">
      <alignment horizontal="center"/>
    </xf>
    <xf numFmtId="173" fontId="11" fillId="2" borderId="30" xfId="0" applyNumberFormat="1" applyFont="1" applyFill="1" applyBorder="1" applyAlignment="1">
      <alignment horizontal="center" wrapText="1"/>
    </xf>
    <xf numFmtId="173" fontId="11" fillId="2" borderId="32" xfId="0" applyNumberFormat="1" applyFont="1" applyFill="1" applyBorder="1" applyAlignment="1">
      <alignment horizontal="center" wrapText="1"/>
    </xf>
    <xf numFmtId="173" fontId="1" fillId="2" borderId="0" xfId="0" applyNumberFormat="1" applyFont="1" applyFill="1" applyBorder="1" applyAlignment="1" applyProtection="1">
      <alignment horizontal="center" vertical="center"/>
      <protection hidden="1"/>
    </xf>
    <xf numFmtId="173" fontId="1" fillId="2" borderId="4" xfId="0" applyNumberFormat="1" applyFont="1" applyFill="1" applyBorder="1" applyAlignment="1" applyProtection="1">
      <alignment horizontal="center" vertical="center"/>
      <protection hidden="1"/>
    </xf>
    <xf numFmtId="173" fontId="1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right"/>
    </xf>
    <xf numFmtId="173" fontId="11" fillId="2" borderId="0" xfId="0" applyNumberFormat="1" applyFont="1" applyFill="1" applyBorder="1" applyAlignment="1">
      <alignment horizontal="center" wrapText="1"/>
    </xf>
    <xf numFmtId="173" fontId="11" fillId="2" borderId="4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173" fontId="0" fillId="2" borderId="0" xfId="0" applyNumberFormat="1" applyFont="1" applyFill="1" applyBorder="1" applyAlignment="1">
      <alignment horizontal="center" wrapText="1"/>
    </xf>
    <xf numFmtId="173" fontId="0" fillId="2" borderId="0" xfId="0" applyNumberFormat="1" applyFont="1" applyFill="1" applyBorder="1" applyAlignment="1">
      <alignment horizontal="center"/>
    </xf>
    <xf numFmtId="173" fontId="0" fillId="2" borderId="4" xfId="0" applyNumberFormat="1" applyFont="1" applyFill="1" applyBorder="1" applyAlignment="1">
      <alignment horizontal="center"/>
    </xf>
    <xf numFmtId="173" fontId="1" fillId="2" borderId="14" xfId="0" applyNumberFormat="1" applyFont="1" applyFill="1" applyBorder="1" applyAlignment="1">
      <alignment horizontal="center" vertical="center" wrapText="1"/>
    </xf>
    <xf numFmtId="173" fontId="1" fillId="2" borderId="33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3</xdr:row>
      <xdr:rowOff>19050</xdr:rowOff>
    </xdr:from>
    <xdr:to>
      <xdr:col>6</xdr:col>
      <xdr:colOff>371475</xdr:colOff>
      <xdr:row>9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457200"/>
          <a:ext cx="923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5"/>
  <sheetViews>
    <sheetView showGridLines="0" showRowColHeaders="0" tabSelected="1" workbookViewId="0" topLeftCell="A4">
      <selection activeCell="K34" sqref="K34"/>
      <selection activeCell="W25" sqref="W25"/>
    </sheetView>
  </sheetViews>
  <sheetFormatPr defaultColWidth="9.140625" defaultRowHeight="12.75"/>
  <cols>
    <col min="1" max="1" width="2.28125" style="0" customWidth="1"/>
    <col min="2" max="2" width="2.140625" style="0" customWidth="1"/>
    <col min="3" max="3" width="11.140625" style="0" customWidth="1"/>
    <col min="4" max="4" width="7.140625" style="0" customWidth="1"/>
    <col min="5" max="5" width="3.421875" style="0" customWidth="1"/>
    <col min="6" max="6" width="3.7109375" style="0" customWidth="1"/>
    <col min="7" max="7" width="4.140625" style="0" hidden="1" customWidth="1"/>
    <col min="8" max="8" width="6.57421875" style="26" customWidth="1"/>
    <col min="9" max="9" width="12.7109375" style="0" customWidth="1"/>
    <col min="11" max="11" width="6.7109375" style="0" customWidth="1"/>
    <col min="12" max="12" width="11.7109375" style="0" customWidth="1"/>
    <col min="13" max="13" width="4.7109375" style="0" customWidth="1"/>
    <col min="14" max="14" width="5.7109375" style="0" customWidth="1"/>
    <col min="15" max="15" width="11.00390625" style="0" customWidth="1"/>
    <col min="16" max="16" width="7.7109375" style="0" customWidth="1"/>
    <col min="17" max="17" width="3.421875" style="0" customWidth="1"/>
    <col min="18" max="18" width="3.8515625" style="0" customWidth="1"/>
    <col min="19" max="19" width="4.28125" style="26" hidden="1" customWidth="1"/>
    <col min="20" max="20" width="6.8515625" style="0" customWidth="1"/>
    <col min="21" max="21" width="6.00390625" style="0" customWidth="1"/>
    <col min="22" max="22" width="4.00390625" style="0" customWidth="1"/>
  </cols>
  <sheetData>
    <row r="1" ht="7.5" customHeight="1" thickBot="1"/>
    <row r="2" spans="2:27" ht="9" customHeight="1"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/>
      <c r="W2" s="7"/>
      <c r="X2" s="7"/>
      <c r="Y2" s="7"/>
      <c r="Z2" s="7"/>
      <c r="AA2" s="7"/>
    </row>
    <row r="3" spans="2:27" ht="15.75">
      <c r="B3" s="158" t="s">
        <v>55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60"/>
      <c r="W3" s="7"/>
      <c r="X3" s="7"/>
      <c r="Y3" s="7"/>
      <c r="Z3" s="7"/>
      <c r="AA3" s="7"/>
    </row>
    <row r="4" spans="2:27" ht="10.5" customHeight="1">
      <c r="B4" s="35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7"/>
      <c r="X4" s="7"/>
      <c r="Y4" s="7"/>
      <c r="Z4" s="7"/>
      <c r="AA4" s="7"/>
    </row>
    <row r="5" spans="2:27" s="28" customFormat="1" ht="17.25" customHeight="1">
      <c r="B5" s="36"/>
      <c r="C5" s="37"/>
      <c r="D5" s="157" t="s">
        <v>58</v>
      </c>
      <c r="E5" s="157"/>
      <c r="F5" s="157"/>
      <c r="G5" s="37"/>
      <c r="H5" s="37"/>
      <c r="I5" s="37"/>
      <c r="J5" s="31"/>
      <c r="K5" s="31" t="s">
        <v>74</v>
      </c>
      <c r="L5" s="31"/>
      <c r="M5" s="37"/>
      <c r="N5" s="37"/>
      <c r="O5" s="37"/>
      <c r="P5" s="31" t="s">
        <v>59</v>
      </c>
      <c r="Q5" s="38"/>
      <c r="R5" s="38"/>
      <c r="S5" s="38"/>
      <c r="T5" s="37"/>
      <c r="U5" s="37"/>
      <c r="V5" s="39"/>
      <c r="W5" s="24"/>
      <c r="X5" s="24"/>
      <c r="Y5" s="24"/>
      <c r="Z5" s="24"/>
      <c r="AA5" s="24"/>
    </row>
    <row r="6" spans="2:27" ht="12.75">
      <c r="B6" s="40"/>
      <c r="C6" s="41" t="s">
        <v>75</v>
      </c>
      <c r="D6" s="161"/>
      <c r="E6" s="161"/>
      <c r="F6" s="161"/>
      <c r="G6" s="161"/>
      <c r="H6" s="161"/>
      <c r="I6" s="161"/>
      <c r="J6" s="2" t="s">
        <v>135</v>
      </c>
      <c r="K6" s="161"/>
      <c r="L6" s="161"/>
      <c r="M6" s="161"/>
      <c r="N6" s="161"/>
      <c r="O6" s="41" t="s">
        <v>75</v>
      </c>
      <c r="P6" s="161"/>
      <c r="Q6" s="161"/>
      <c r="R6" s="161"/>
      <c r="S6" s="161"/>
      <c r="T6" s="161"/>
      <c r="U6" s="161"/>
      <c r="V6" s="42"/>
      <c r="W6" s="7"/>
      <c r="X6" s="7"/>
      <c r="Y6" s="7"/>
      <c r="Z6" s="7"/>
      <c r="AA6" s="7"/>
    </row>
    <row r="7" spans="2:27" ht="12.75">
      <c r="B7" s="40"/>
      <c r="C7" s="43"/>
      <c r="D7" s="2"/>
      <c r="E7" s="2"/>
      <c r="F7" s="2"/>
      <c r="G7" s="43"/>
      <c r="H7" s="44"/>
      <c r="I7" s="43"/>
      <c r="J7" s="43"/>
      <c r="K7" s="43"/>
      <c r="L7" s="43"/>
      <c r="M7" s="43"/>
      <c r="N7" s="43"/>
      <c r="O7" s="43"/>
      <c r="P7" s="43"/>
      <c r="Q7" s="43"/>
      <c r="R7" s="43"/>
      <c r="S7" s="44"/>
      <c r="T7" s="43"/>
      <c r="U7" s="43"/>
      <c r="V7" s="42"/>
      <c r="W7" s="7"/>
      <c r="X7" s="7"/>
      <c r="Y7" s="7"/>
      <c r="Z7" s="7"/>
      <c r="AA7" s="7"/>
    </row>
    <row r="8" spans="2:27" ht="12.75">
      <c r="B8" s="40"/>
      <c r="C8" s="45" t="s">
        <v>60</v>
      </c>
      <c r="D8" s="46"/>
      <c r="E8" s="46"/>
      <c r="F8" s="46"/>
      <c r="G8" s="46"/>
      <c r="H8" s="151">
        <f>IF(AND(Data!$L$16=1,Data!$L$17&gt;=1,Data!$L$17&lt;=9),Data!$L$51,IF(AND(Data!$L$16=2,Data!$L$17&gt;=1,Data!$L$17&lt;=9),MIN(Data!$L$51,24),MIN(Data!$L$51,20)))</f>
        <v>24</v>
      </c>
      <c r="I8" s="2" t="s">
        <v>11</v>
      </c>
      <c r="J8" s="162">
        <f>IF(OR(AND($H$8&gt;(30-(Data!$L$37-6)/3),Data!$L$16=1),AND($T$8&gt;(30-(Data!$L$39-6)/3),Data!$L$16=1)),"MAXIMUM LEGAL","")</f>
      </c>
      <c r="K8" s="162"/>
      <c r="L8" s="162"/>
      <c r="M8" s="31"/>
      <c r="N8" s="43"/>
      <c r="O8" s="47" t="s">
        <v>60</v>
      </c>
      <c r="P8" s="43"/>
      <c r="Q8" s="43"/>
      <c r="R8" s="43"/>
      <c r="S8" s="44"/>
      <c r="T8" s="151">
        <f>IF(AND(Data!$L$16=1,Data!$L$17&gt;=1,Data!$L$17&lt;=9),Data!$L$52,IF(AND(Data!$L$16=2,Data!$L$17&gt;=1,Data!$L$17&lt;=9),MIN(Data!$L$52,24),MIN(Data!$L$52,20)))</f>
        <v>24</v>
      </c>
      <c r="U8" s="2" t="s">
        <v>11</v>
      </c>
      <c r="V8" s="42"/>
      <c r="W8" s="7"/>
      <c r="X8" s="7"/>
      <c r="Y8" s="7"/>
      <c r="Z8" s="7"/>
      <c r="AA8" s="7"/>
    </row>
    <row r="9" spans="2:27" ht="12.75">
      <c r="B9" s="40"/>
      <c r="C9" s="2"/>
      <c r="D9" s="43"/>
      <c r="E9" s="43"/>
      <c r="F9" s="43"/>
      <c r="G9" s="43"/>
      <c r="H9" s="44"/>
      <c r="I9" s="43"/>
      <c r="J9" s="162">
        <f>IF(OR(AND($H$8&gt;(30-(Data!$L$37-6)/3),Data!$L$16=1),AND($T$8&gt;(30-(Data!$L$39-6)/3),Data!$L$16=1)),"TX POWER EXCEEDED","")</f>
      </c>
      <c r="K9" s="162"/>
      <c r="L9" s="162"/>
      <c r="M9" s="43"/>
      <c r="N9" s="43"/>
      <c r="O9" s="2"/>
      <c r="P9" s="43"/>
      <c r="Q9" s="43"/>
      <c r="R9" s="43"/>
      <c r="S9" s="44"/>
      <c r="T9" s="43"/>
      <c r="U9" s="43"/>
      <c r="V9" s="42"/>
      <c r="W9" s="7"/>
      <c r="X9" s="7"/>
      <c r="Y9" s="7"/>
      <c r="Z9" s="7"/>
      <c r="AA9" s="7"/>
    </row>
    <row r="10" spans="2:27" ht="12.75">
      <c r="B10" s="40"/>
      <c r="C10" s="47" t="s">
        <v>61</v>
      </c>
      <c r="D10" s="43"/>
      <c r="E10" s="43"/>
      <c r="F10" s="43"/>
      <c r="G10" s="43"/>
      <c r="H10" s="44"/>
      <c r="I10" s="43"/>
      <c r="J10" s="43"/>
      <c r="K10" s="43"/>
      <c r="L10" s="43"/>
      <c r="M10" s="43"/>
      <c r="N10" s="43"/>
      <c r="O10" s="47" t="s">
        <v>61</v>
      </c>
      <c r="P10" s="43"/>
      <c r="Q10" s="43"/>
      <c r="R10" s="43"/>
      <c r="S10" s="44"/>
      <c r="T10" s="43"/>
      <c r="U10" s="43"/>
      <c r="V10" s="42"/>
      <c r="W10" s="7"/>
      <c r="X10" s="7"/>
      <c r="Y10" s="7"/>
      <c r="Z10" s="7"/>
      <c r="AA10" s="7"/>
    </row>
    <row r="11" spans="2:27" ht="12.75">
      <c r="B11" s="40"/>
      <c r="C11" s="10" t="s">
        <v>62</v>
      </c>
      <c r="D11" s="43"/>
      <c r="E11" s="43"/>
      <c r="F11" s="43"/>
      <c r="G11" s="43"/>
      <c r="H11" s="44"/>
      <c r="I11" s="43"/>
      <c r="J11" s="2" t="s">
        <v>71</v>
      </c>
      <c r="K11" s="29"/>
      <c r="L11" s="29"/>
      <c r="M11" s="43"/>
      <c r="N11" s="43"/>
      <c r="O11" s="10" t="s">
        <v>62</v>
      </c>
      <c r="P11" s="43"/>
      <c r="Q11" s="43"/>
      <c r="R11" s="43"/>
      <c r="S11" s="44"/>
      <c r="T11" s="43"/>
      <c r="U11" s="43"/>
      <c r="V11" s="42"/>
      <c r="W11" s="7"/>
      <c r="X11" s="7"/>
      <c r="Y11" s="7"/>
      <c r="Z11" s="7"/>
      <c r="AA11" s="7"/>
    </row>
    <row r="12" spans="2:27" ht="12.75">
      <c r="B12" s="40"/>
      <c r="C12" s="2"/>
      <c r="D12" s="43"/>
      <c r="E12" s="43"/>
      <c r="F12" s="43"/>
      <c r="G12" s="43"/>
      <c r="H12" s="44"/>
      <c r="I12" s="43"/>
      <c r="J12" s="41"/>
      <c r="K12" s="29"/>
      <c r="L12" s="29"/>
      <c r="M12" s="43"/>
      <c r="N12" s="43"/>
      <c r="O12" s="2"/>
      <c r="P12" s="43"/>
      <c r="Q12" s="43"/>
      <c r="R12" s="43"/>
      <c r="S12" s="44"/>
      <c r="T12" s="43"/>
      <c r="U12" s="43"/>
      <c r="V12" s="42"/>
      <c r="W12" s="7"/>
      <c r="X12" s="7"/>
      <c r="Y12" s="7"/>
      <c r="Z12" s="7"/>
      <c r="AA12" s="7"/>
    </row>
    <row r="13" spans="2:27" ht="12.75">
      <c r="B13" s="40"/>
      <c r="C13" s="2"/>
      <c r="D13" s="43"/>
      <c r="E13" s="43"/>
      <c r="F13" s="43"/>
      <c r="G13" s="43"/>
      <c r="H13" s="44"/>
      <c r="I13" s="43"/>
      <c r="J13" s="41"/>
      <c r="K13" s="29"/>
      <c r="L13" s="29"/>
      <c r="M13" s="43"/>
      <c r="N13" s="43"/>
      <c r="O13" s="2"/>
      <c r="P13" s="43"/>
      <c r="Q13" s="43"/>
      <c r="R13" s="43"/>
      <c r="S13" s="44"/>
      <c r="T13" s="43"/>
      <c r="U13" s="43"/>
      <c r="V13" s="42"/>
      <c r="W13" s="7"/>
      <c r="X13" s="7"/>
      <c r="Y13" s="7"/>
      <c r="Z13" s="7"/>
      <c r="AA13" s="7"/>
    </row>
    <row r="14" spans="2:27" ht="12.75">
      <c r="B14" s="40"/>
      <c r="C14" s="2"/>
      <c r="D14" s="43"/>
      <c r="E14" s="43"/>
      <c r="F14" s="43"/>
      <c r="G14" s="43"/>
      <c r="H14" s="44"/>
      <c r="I14" s="43"/>
      <c r="J14" s="43"/>
      <c r="K14" s="43"/>
      <c r="L14" s="43"/>
      <c r="M14" s="43"/>
      <c r="N14" s="43"/>
      <c r="O14" s="2"/>
      <c r="P14" s="43"/>
      <c r="Q14" s="43"/>
      <c r="R14" s="43"/>
      <c r="S14" s="44"/>
      <c r="T14" s="43"/>
      <c r="U14" s="43"/>
      <c r="V14" s="42"/>
      <c r="W14" s="7"/>
      <c r="X14" s="7"/>
      <c r="Y14" s="7"/>
      <c r="Z14" s="7"/>
      <c r="AA14" s="7"/>
    </row>
    <row r="15" spans="2:27" ht="12.75">
      <c r="B15" s="40"/>
      <c r="C15" s="10" t="s">
        <v>63</v>
      </c>
      <c r="D15" s="43"/>
      <c r="E15" s="43"/>
      <c r="F15" s="43"/>
      <c r="G15" s="43"/>
      <c r="H15" s="49">
        <f>IF(Data!L20=1,Data!L21/10,"")</f>
      </c>
      <c r="I15" s="2">
        <f>IF(Data!L20=1,"dBi","")</f>
      </c>
      <c r="J15" s="2" t="s">
        <v>70</v>
      </c>
      <c r="K15" s="43"/>
      <c r="L15" s="43"/>
      <c r="M15" s="43"/>
      <c r="N15" s="43"/>
      <c r="O15" s="10" t="s">
        <v>63</v>
      </c>
      <c r="P15" s="43"/>
      <c r="Q15" s="43"/>
      <c r="R15" s="43"/>
      <c r="S15" s="44"/>
      <c r="T15" s="50">
        <f>IF(Data!L24=1,Data!L25/10,"")</f>
      </c>
      <c r="U15" s="2">
        <f>IF(Data!L24=1,"dBi","")</f>
      </c>
      <c r="V15" s="42"/>
      <c r="W15" s="7"/>
      <c r="X15" s="7"/>
      <c r="Y15" s="7"/>
      <c r="Z15" s="7"/>
      <c r="AA15" s="7"/>
    </row>
    <row r="16" spans="2:27" ht="12.75">
      <c r="B16" s="40"/>
      <c r="C16" s="2"/>
      <c r="D16" s="43"/>
      <c r="E16" s="43"/>
      <c r="F16" s="43"/>
      <c r="G16" s="43"/>
      <c r="H16" s="44"/>
      <c r="I16" s="43"/>
      <c r="J16" s="43"/>
      <c r="K16" s="43"/>
      <c r="L16" s="43"/>
      <c r="M16" s="43"/>
      <c r="N16" s="43"/>
      <c r="O16" s="2"/>
      <c r="P16" s="43"/>
      <c r="Q16" s="43"/>
      <c r="R16" s="43"/>
      <c r="S16" s="44"/>
      <c r="T16" s="43"/>
      <c r="U16" s="43"/>
      <c r="V16" s="42"/>
      <c r="W16" s="7"/>
      <c r="X16" s="7"/>
      <c r="Y16" s="7"/>
      <c r="Z16" s="7"/>
      <c r="AA16" s="7"/>
    </row>
    <row r="17" spans="2:22" ht="12.75">
      <c r="B17" s="40"/>
      <c r="C17" s="2"/>
      <c r="D17" s="43"/>
      <c r="E17" s="43"/>
      <c r="F17" s="43"/>
      <c r="G17" s="43"/>
      <c r="H17" s="44"/>
      <c r="I17" s="43"/>
      <c r="J17" s="43"/>
      <c r="K17" s="43"/>
      <c r="L17" s="43"/>
      <c r="M17" s="43"/>
      <c r="N17" s="43"/>
      <c r="O17" s="2"/>
      <c r="P17" s="43"/>
      <c r="Q17" s="43"/>
      <c r="R17" s="43"/>
      <c r="S17" s="44"/>
      <c r="T17" s="43"/>
      <c r="U17" s="43"/>
      <c r="V17" s="42"/>
    </row>
    <row r="18" spans="2:22" ht="12.75">
      <c r="B18" s="40"/>
      <c r="C18" s="47" t="s">
        <v>64</v>
      </c>
      <c r="D18" s="43"/>
      <c r="E18" s="43"/>
      <c r="F18" s="43"/>
      <c r="G18" s="43"/>
      <c r="H18" s="44"/>
      <c r="I18" s="43"/>
      <c r="J18" s="43"/>
      <c r="K18" s="43"/>
      <c r="L18" s="43"/>
      <c r="M18" s="43"/>
      <c r="N18" s="43"/>
      <c r="O18" s="47" t="s">
        <v>64</v>
      </c>
      <c r="P18" s="43"/>
      <c r="Q18" s="43"/>
      <c r="R18" s="43"/>
      <c r="S18" s="44"/>
      <c r="T18" s="43"/>
      <c r="U18" s="43"/>
      <c r="V18" s="42"/>
    </row>
    <row r="19" spans="2:22" ht="12.75">
      <c r="B19" s="40"/>
      <c r="C19" s="10" t="s">
        <v>129</v>
      </c>
      <c r="D19" s="43"/>
      <c r="E19" s="43"/>
      <c r="F19" s="43"/>
      <c r="G19" s="43"/>
      <c r="H19" s="44"/>
      <c r="I19" s="43"/>
      <c r="J19" s="2" t="s">
        <v>72</v>
      </c>
      <c r="K19" s="43"/>
      <c r="L19" s="43"/>
      <c r="M19" s="43"/>
      <c r="N19" s="43"/>
      <c r="O19" s="10" t="s">
        <v>129</v>
      </c>
      <c r="P19" s="43"/>
      <c r="Q19" s="43"/>
      <c r="R19" s="43"/>
      <c r="S19" s="44"/>
      <c r="T19" s="43"/>
      <c r="U19" s="43"/>
      <c r="V19" s="42"/>
    </row>
    <row r="20" spans="2:22" ht="12.75">
      <c r="B20" s="40"/>
      <c r="C20" s="2"/>
      <c r="D20" s="43"/>
      <c r="E20" s="43"/>
      <c r="F20" s="43"/>
      <c r="G20" s="43"/>
      <c r="H20" s="44"/>
      <c r="I20" s="43"/>
      <c r="J20" s="43"/>
      <c r="K20" s="43"/>
      <c r="L20" s="43"/>
      <c r="M20" s="43"/>
      <c r="N20" s="43"/>
      <c r="O20" s="2"/>
      <c r="P20" s="43"/>
      <c r="Q20" s="43"/>
      <c r="R20" s="43"/>
      <c r="S20" s="44"/>
      <c r="T20" s="43"/>
      <c r="U20" s="43"/>
      <c r="V20" s="42"/>
    </row>
    <row r="21" spans="2:22" ht="12.75">
      <c r="B21" s="40"/>
      <c r="C21" s="2"/>
      <c r="D21" s="43"/>
      <c r="E21" s="43"/>
      <c r="F21" s="43"/>
      <c r="G21" s="43"/>
      <c r="H21" s="44"/>
      <c r="I21" s="43"/>
      <c r="J21" s="2"/>
      <c r="K21" s="43"/>
      <c r="L21" s="43"/>
      <c r="M21" s="43"/>
      <c r="N21" s="43"/>
      <c r="O21" s="2"/>
      <c r="P21" s="43"/>
      <c r="Q21" s="43"/>
      <c r="R21" s="43"/>
      <c r="S21" s="44"/>
      <c r="T21" s="43"/>
      <c r="U21" s="43"/>
      <c r="V21" s="42"/>
    </row>
    <row r="22" spans="2:22" ht="12.75">
      <c r="B22" s="40"/>
      <c r="C22" s="2"/>
      <c r="D22" s="43"/>
      <c r="E22" s="43"/>
      <c r="F22" s="43"/>
      <c r="G22" s="43"/>
      <c r="H22" s="44"/>
      <c r="I22" s="43"/>
      <c r="J22" s="2"/>
      <c r="K22" s="43"/>
      <c r="L22" s="43"/>
      <c r="M22" s="43"/>
      <c r="N22" s="43"/>
      <c r="O22" s="2"/>
      <c r="P22" s="43"/>
      <c r="Q22" s="43"/>
      <c r="R22" s="43"/>
      <c r="S22" s="44"/>
      <c r="T22" s="43"/>
      <c r="U22" s="43"/>
      <c r="V22" s="42"/>
    </row>
    <row r="23" spans="2:22" ht="12.75">
      <c r="B23" s="40"/>
      <c r="C23" s="10" t="s">
        <v>76</v>
      </c>
      <c r="D23" s="43"/>
      <c r="E23" s="43"/>
      <c r="F23" s="43"/>
      <c r="G23" s="43"/>
      <c r="H23" s="44"/>
      <c r="I23" s="43"/>
      <c r="J23" s="2" t="s">
        <v>73</v>
      </c>
      <c r="K23" s="43"/>
      <c r="L23" s="43"/>
      <c r="M23" s="43"/>
      <c r="N23" s="43"/>
      <c r="O23" s="10" t="s">
        <v>76</v>
      </c>
      <c r="P23" s="43"/>
      <c r="Q23" s="43"/>
      <c r="R23" s="43"/>
      <c r="S23" s="44"/>
      <c r="T23" s="50">
        <f>IF(Data!L26=1,Data!L27/10,"")</f>
      </c>
      <c r="U23" s="2">
        <f>IF(Data!L26=1,"dB/100 ft","")</f>
      </c>
      <c r="V23" s="42"/>
    </row>
    <row r="24" spans="2:22" ht="12.75">
      <c r="B24" s="40"/>
      <c r="C24" s="2"/>
      <c r="D24" s="43"/>
      <c r="E24" s="43"/>
      <c r="F24" s="43"/>
      <c r="G24" s="43"/>
      <c r="H24" s="49">
        <f>IF(Data!L22=1,Data!L23/10,"")</f>
      </c>
      <c r="I24" s="2">
        <f>IF(Data!L22=1,"dB/100 ft","")</f>
      </c>
      <c r="J24" s="43"/>
      <c r="K24" s="43"/>
      <c r="L24" s="43"/>
      <c r="M24" s="43"/>
      <c r="N24" s="43"/>
      <c r="O24" s="2"/>
      <c r="P24" s="43"/>
      <c r="Q24" s="43"/>
      <c r="R24" s="43"/>
      <c r="S24" s="44"/>
      <c r="T24" s="43"/>
      <c r="U24" s="43"/>
      <c r="V24" s="42"/>
    </row>
    <row r="25" spans="2:22" ht="12.75">
      <c r="B25" s="40"/>
      <c r="C25" s="2"/>
      <c r="D25" s="43"/>
      <c r="E25" s="43"/>
      <c r="F25" s="43"/>
      <c r="G25" s="43"/>
      <c r="H25" s="44"/>
      <c r="I25" s="43"/>
      <c r="J25" s="2"/>
      <c r="K25" s="43"/>
      <c r="L25" s="43"/>
      <c r="M25" s="43"/>
      <c r="N25" s="43"/>
      <c r="O25" s="2"/>
      <c r="P25" s="43"/>
      <c r="Q25" s="43"/>
      <c r="R25" s="43"/>
      <c r="S25" s="44"/>
      <c r="T25" s="43"/>
      <c r="U25" s="43"/>
      <c r="V25" s="42"/>
    </row>
    <row r="26" spans="2:22" ht="12.75">
      <c r="B26" s="40"/>
      <c r="C26" s="47" t="s">
        <v>65</v>
      </c>
      <c r="D26" s="43"/>
      <c r="E26" s="43"/>
      <c r="F26" s="43"/>
      <c r="G26" s="43"/>
      <c r="H26" s="51">
        <f>Data!L30</f>
        <v>100</v>
      </c>
      <c r="I26" s="2" t="s">
        <v>97</v>
      </c>
      <c r="J26" s="43"/>
      <c r="K26" s="43"/>
      <c r="L26" s="43"/>
      <c r="M26" s="43"/>
      <c r="N26" s="43"/>
      <c r="O26" s="47" t="s">
        <v>65</v>
      </c>
      <c r="P26" s="43"/>
      <c r="Q26" s="43"/>
      <c r="R26" s="43"/>
      <c r="S26" s="44"/>
      <c r="T26" s="2">
        <f>Data!L31</f>
        <v>100</v>
      </c>
      <c r="U26" s="2" t="s">
        <v>97</v>
      </c>
      <c r="V26" s="42"/>
    </row>
    <row r="27" spans="2:22" ht="12.75">
      <c r="B27" s="40"/>
      <c r="C27" s="2"/>
      <c r="D27" s="43"/>
      <c r="E27" s="43"/>
      <c r="F27" s="43"/>
      <c r="G27" s="43"/>
      <c r="H27" s="49">
        <f>H26/3.28</f>
        <v>30.48780487804878</v>
      </c>
      <c r="I27" s="2" t="s">
        <v>25</v>
      </c>
      <c r="J27" s="2" t="s">
        <v>4</v>
      </c>
      <c r="K27" s="43"/>
      <c r="L27" s="43"/>
      <c r="M27" s="43"/>
      <c r="N27" s="43"/>
      <c r="O27" s="2"/>
      <c r="P27" s="43"/>
      <c r="Q27" s="43"/>
      <c r="R27" s="43"/>
      <c r="S27" s="44"/>
      <c r="T27" s="50">
        <f>T26/3.28</f>
        <v>30.48780487804878</v>
      </c>
      <c r="U27" s="2" t="s">
        <v>25</v>
      </c>
      <c r="V27" s="42"/>
    </row>
    <row r="28" spans="2:22" ht="12.75">
      <c r="B28" s="40"/>
      <c r="C28" s="2"/>
      <c r="D28" s="43"/>
      <c r="E28" s="43"/>
      <c r="F28" s="43"/>
      <c r="G28" s="43"/>
      <c r="H28" s="52"/>
      <c r="I28" s="53"/>
      <c r="J28" s="43"/>
      <c r="K28" s="43"/>
      <c r="L28" s="43"/>
      <c r="M28" s="43"/>
      <c r="N28" s="43"/>
      <c r="O28" s="2"/>
      <c r="P28" s="43"/>
      <c r="Q28" s="43"/>
      <c r="R28" s="43"/>
      <c r="S28" s="44"/>
      <c r="T28" s="43"/>
      <c r="U28" s="43"/>
      <c r="V28" s="42"/>
    </row>
    <row r="29" spans="2:22" ht="12.75">
      <c r="B29" s="40"/>
      <c r="C29" s="2"/>
      <c r="D29" s="43"/>
      <c r="E29" s="43"/>
      <c r="F29" s="43"/>
      <c r="G29" s="43"/>
      <c r="H29" s="49"/>
      <c r="I29" s="2"/>
      <c r="J29" s="43"/>
      <c r="K29" s="43"/>
      <c r="L29" s="54">
        <f>IF(Data!L28=1,Data!L34/10,Data!L35)</f>
        <v>10</v>
      </c>
      <c r="M29" s="54" t="s">
        <v>101</v>
      </c>
      <c r="N29" s="54"/>
      <c r="O29" s="2"/>
      <c r="P29" s="43"/>
      <c r="Q29" s="43"/>
      <c r="R29" s="43"/>
      <c r="S29" s="44"/>
      <c r="T29" s="43"/>
      <c r="U29" s="43"/>
      <c r="V29" s="42"/>
    </row>
    <row r="30" spans="2:22" ht="12.75">
      <c r="B30" s="40"/>
      <c r="C30" s="47" t="s">
        <v>66</v>
      </c>
      <c r="D30" s="43"/>
      <c r="E30" s="43"/>
      <c r="F30" s="43"/>
      <c r="G30" s="43"/>
      <c r="H30" s="49">
        <f>Data!L32/10</f>
        <v>0.5</v>
      </c>
      <c r="I30" s="2" t="s">
        <v>12</v>
      </c>
      <c r="J30" s="43"/>
      <c r="K30" s="43"/>
      <c r="L30" s="55">
        <f>L29*1.609344</f>
        <v>16.09344</v>
      </c>
      <c r="M30" s="2" t="s">
        <v>130</v>
      </c>
      <c r="N30" s="43"/>
      <c r="O30" s="47" t="s">
        <v>66</v>
      </c>
      <c r="P30" s="43"/>
      <c r="Q30" s="43"/>
      <c r="R30" s="43"/>
      <c r="S30" s="44"/>
      <c r="T30" s="50">
        <f>Data!L33/10</f>
        <v>0.5</v>
      </c>
      <c r="U30" s="2" t="s">
        <v>12</v>
      </c>
      <c r="V30" s="42"/>
    </row>
    <row r="31" spans="2:22" ht="12.75">
      <c r="B31" s="40"/>
      <c r="C31" s="2"/>
      <c r="D31" s="43"/>
      <c r="E31" s="43"/>
      <c r="F31" s="43"/>
      <c r="G31" s="43"/>
      <c r="H31" s="44"/>
      <c r="I31" s="43"/>
      <c r="J31" s="43"/>
      <c r="K31" s="43"/>
      <c r="L31" s="43"/>
      <c r="M31" s="43"/>
      <c r="N31" s="43"/>
      <c r="O31" s="2"/>
      <c r="P31" s="43"/>
      <c r="Q31" s="43"/>
      <c r="R31" s="43"/>
      <c r="S31" s="44"/>
      <c r="T31" s="43"/>
      <c r="U31" s="43"/>
      <c r="V31" s="42"/>
    </row>
    <row r="32" spans="2:22" ht="12.75">
      <c r="B32" s="40"/>
      <c r="C32" s="2"/>
      <c r="D32" s="43"/>
      <c r="E32" s="43"/>
      <c r="F32" s="43"/>
      <c r="G32" s="43"/>
      <c r="H32" s="44"/>
      <c r="I32" s="43"/>
      <c r="J32" s="43"/>
      <c r="K32" s="43"/>
      <c r="L32" s="43"/>
      <c r="M32" s="43"/>
      <c r="N32" s="43"/>
      <c r="O32" s="2"/>
      <c r="P32" s="43"/>
      <c r="Q32" s="43"/>
      <c r="R32" s="43"/>
      <c r="S32" s="44"/>
      <c r="T32" s="43"/>
      <c r="U32" s="43"/>
      <c r="V32" s="42"/>
    </row>
    <row r="33" spans="2:22" ht="12.75">
      <c r="B33" s="40"/>
      <c r="C33" s="2"/>
      <c r="D33" s="53"/>
      <c r="E33" s="53"/>
      <c r="F33" s="53"/>
      <c r="G33" s="43"/>
      <c r="H33" s="56"/>
      <c r="I33" s="2"/>
      <c r="J33" s="43"/>
      <c r="K33" s="43"/>
      <c r="L33" s="43"/>
      <c r="M33" s="43"/>
      <c r="N33" s="43"/>
      <c r="O33" s="2"/>
      <c r="P33" s="43"/>
      <c r="Q33" s="43"/>
      <c r="R33" s="43"/>
      <c r="S33" s="44"/>
      <c r="T33" s="43"/>
      <c r="U33" s="43"/>
      <c r="V33" s="42"/>
    </row>
    <row r="34" spans="2:22" ht="12.75">
      <c r="B34" s="40"/>
      <c r="C34" s="47" t="s">
        <v>67</v>
      </c>
      <c r="D34" s="48">
        <v>0</v>
      </c>
      <c r="E34" s="48">
        <v>0</v>
      </c>
      <c r="F34" s="48">
        <v>0</v>
      </c>
      <c r="G34" s="43"/>
      <c r="H34" s="56"/>
      <c r="I34" s="43"/>
      <c r="J34" s="57" t="s">
        <v>0</v>
      </c>
      <c r="K34" s="58"/>
      <c r="L34" s="59">
        <f>-'Path Summary'!E13</f>
        <v>131.86855987125875</v>
      </c>
      <c r="M34" s="60" t="s">
        <v>103</v>
      </c>
      <c r="N34" s="2"/>
      <c r="O34" s="47" t="s">
        <v>67</v>
      </c>
      <c r="P34" s="48">
        <v>0</v>
      </c>
      <c r="Q34" s="48">
        <v>0</v>
      </c>
      <c r="R34" s="48">
        <v>0</v>
      </c>
      <c r="S34" s="44"/>
      <c r="T34" s="61"/>
      <c r="U34" s="2"/>
      <c r="V34" s="42"/>
    </row>
    <row r="35" spans="2:22" ht="12.75">
      <c r="B35" s="40"/>
      <c r="C35" s="2" t="s">
        <v>98</v>
      </c>
      <c r="D35" s="2"/>
      <c r="E35" s="2"/>
      <c r="F35" s="2"/>
      <c r="G35" s="43"/>
      <c r="H35" s="44"/>
      <c r="I35" s="43"/>
      <c r="J35" s="62" t="s">
        <v>1</v>
      </c>
      <c r="K35" s="43"/>
      <c r="L35" s="50">
        <f>MIN('Path Summary'!D38,'Path Summary'!F38)</f>
        <v>36.61144012874125</v>
      </c>
      <c r="M35" s="63" t="s">
        <v>103</v>
      </c>
      <c r="N35" s="2"/>
      <c r="O35" s="2" t="s">
        <v>98</v>
      </c>
      <c r="P35" s="43"/>
      <c r="Q35" s="43"/>
      <c r="R35" s="43"/>
      <c r="S35" s="44"/>
      <c r="T35" s="43"/>
      <c r="U35" s="43"/>
      <c r="V35" s="42"/>
    </row>
    <row r="36" spans="2:22" ht="12.75">
      <c r="B36" s="40"/>
      <c r="C36" s="2"/>
      <c r="D36" s="2"/>
      <c r="E36" s="2"/>
      <c r="F36" s="2"/>
      <c r="G36" s="43"/>
      <c r="H36" s="44"/>
      <c r="I36" s="43"/>
      <c r="J36" s="62" t="s">
        <v>10</v>
      </c>
      <c r="K36" s="43"/>
      <c r="L36" s="148">
        <f>MIN('Path Summary'!D39,'Path Summary'!F39)</f>
        <v>0.99999920902274</v>
      </c>
      <c r="M36" s="64"/>
      <c r="N36" s="43"/>
      <c r="O36" s="2"/>
      <c r="P36" s="43"/>
      <c r="Q36" s="43"/>
      <c r="R36" s="43"/>
      <c r="S36" s="44"/>
      <c r="T36" s="43"/>
      <c r="U36" s="43"/>
      <c r="V36" s="42"/>
    </row>
    <row r="37" spans="2:22" ht="12.75">
      <c r="B37" s="40"/>
      <c r="C37" s="2"/>
      <c r="D37" s="2"/>
      <c r="E37" s="2"/>
      <c r="F37" s="2"/>
      <c r="G37" s="43"/>
      <c r="H37" s="44"/>
      <c r="I37" s="43"/>
      <c r="J37" s="65" t="s">
        <v>69</v>
      </c>
      <c r="K37" s="66"/>
      <c r="L37" s="67">
        <f>MAX('Path Summary'!D40,'Path Summary'!F40)</f>
        <v>0.41573764786830836</v>
      </c>
      <c r="M37" s="68" t="s">
        <v>113</v>
      </c>
      <c r="N37" s="2"/>
      <c r="O37" s="2"/>
      <c r="P37" s="43"/>
      <c r="Q37" s="43"/>
      <c r="R37" s="43"/>
      <c r="S37" s="44"/>
      <c r="T37" s="43"/>
      <c r="U37" s="43"/>
      <c r="V37" s="42"/>
    </row>
    <row r="38" spans="2:22" ht="12.75">
      <c r="B38" s="40"/>
      <c r="C38" s="47" t="s">
        <v>68</v>
      </c>
      <c r="D38" s="48">
        <v>0</v>
      </c>
      <c r="E38" s="48">
        <v>0</v>
      </c>
      <c r="F38" s="48">
        <v>0</v>
      </c>
      <c r="G38" s="43"/>
      <c r="H38" s="56"/>
      <c r="I38" s="2"/>
      <c r="J38" s="43"/>
      <c r="K38" s="43"/>
      <c r="L38" s="43"/>
      <c r="M38" s="2"/>
      <c r="N38" s="2"/>
      <c r="O38" s="47" t="s">
        <v>68</v>
      </c>
      <c r="P38" s="48">
        <v>0</v>
      </c>
      <c r="Q38" s="48">
        <v>0</v>
      </c>
      <c r="R38" s="48">
        <v>0</v>
      </c>
      <c r="S38" s="44"/>
      <c r="T38" s="61"/>
      <c r="U38" s="2"/>
      <c r="V38" s="42"/>
    </row>
    <row r="39" spans="2:22" ht="12.75">
      <c r="B39" s="40"/>
      <c r="C39" s="2" t="s">
        <v>98</v>
      </c>
      <c r="D39" s="43"/>
      <c r="E39" s="43"/>
      <c r="F39" s="43"/>
      <c r="G39" s="43"/>
      <c r="H39" s="44"/>
      <c r="I39" s="43"/>
      <c r="J39" s="156">
        <f>IF(OR(AND('Path Summary'!D27&gt;53,Data!$L$16=1,Data!$L$17=16),AND('Path Summary'!F27&gt;53,Data!$L$16=1,Data!$L$17=16)),"EIRP LIMIT EXCEEDED!","")</f>
      </c>
      <c r="K39" s="156"/>
      <c r="L39" s="156"/>
      <c r="M39" s="156"/>
      <c r="N39" s="43"/>
      <c r="O39" s="2" t="s">
        <v>98</v>
      </c>
      <c r="P39" s="43"/>
      <c r="Q39" s="43"/>
      <c r="R39" s="43"/>
      <c r="S39" s="44"/>
      <c r="T39" s="43"/>
      <c r="U39" s="43"/>
      <c r="V39" s="42"/>
    </row>
    <row r="40" spans="2:22" ht="12.75">
      <c r="B40" s="40"/>
      <c r="C40" s="2"/>
      <c r="D40" s="43"/>
      <c r="E40" s="43"/>
      <c r="F40" s="43"/>
      <c r="G40" s="43"/>
      <c r="H40" s="44"/>
      <c r="I40" s="43"/>
      <c r="J40" s="43"/>
      <c r="K40" s="43"/>
      <c r="L40" s="43"/>
      <c r="M40" s="43"/>
      <c r="N40" s="43"/>
      <c r="O40" s="2"/>
      <c r="P40" s="43"/>
      <c r="Q40" s="43"/>
      <c r="R40" s="43"/>
      <c r="S40" s="44"/>
      <c r="T40" s="43"/>
      <c r="U40" s="43"/>
      <c r="V40" s="42"/>
    </row>
    <row r="41" spans="2:22" ht="13.5" thickBot="1">
      <c r="B41" s="69"/>
      <c r="C41" s="3"/>
      <c r="D41" s="70"/>
      <c r="E41" s="70"/>
      <c r="F41" s="70"/>
      <c r="G41" s="70"/>
      <c r="H41" s="71"/>
      <c r="I41" s="70"/>
      <c r="J41" s="70"/>
      <c r="K41" s="70"/>
      <c r="L41" s="70"/>
      <c r="M41" s="70"/>
      <c r="N41" s="70"/>
      <c r="O41" s="3"/>
      <c r="P41" s="70"/>
      <c r="Q41" s="70"/>
      <c r="R41" s="70"/>
      <c r="S41" s="71"/>
      <c r="T41" s="70"/>
      <c r="U41" s="70"/>
      <c r="V41" s="72"/>
    </row>
    <row r="42" spans="2:23" ht="12.75">
      <c r="B42" s="1"/>
      <c r="C42" s="6"/>
      <c r="D42" s="1"/>
      <c r="E42" s="1"/>
      <c r="F42" s="1"/>
      <c r="G42" s="1"/>
      <c r="H42" s="27"/>
      <c r="I42" s="1"/>
      <c r="J42" s="1"/>
      <c r="K42" s="1"/>
      <c r="L42" s="1"/>
      <c r="M42" s="1"/>
      <c r="N42" s="1"/>
      <c r="P42" s="1"/>
      <c r="Q42" s="1"/>
      <c r="R42" s="1"/>
      <c r="S42" s="27"/>
      <c r="T42" s="1"/>
      <c r="U42" s="1"/>
      <c r="V42" s="1"/>
      <c r="W42" s="1"/>
    </row>
    <row r="43" spans="2:23" ht="12.75">
      <c r="B43" s="1"/>
      <c r="C43" s="6"/>
      <c r="D43" s="1"/>
      <c r="E43" s="1"/>
      <c r="F43" s="1"/>
      <c r="G43" s="1"/>
      <c r="H43" s="27"/>
      <c r="I43" s="1"/>
      <c r="J43" s="1"/>
      <c r="K43" s="1"/>
      <c r="L43" s="1"/>
      <c r="M43" s="1"/>
      <c r="N43" s="1"/>
      <c r="P43" s="1"/>
      <c r="Q43" s="1"/>
      <c r="R43" s="1"/>
      <c r="S43" s="27"/>
      <c r="T43" s="1"/>
      <c r="U43" s="1"/>
      <c r="V43" s="1"/>
      <c r="W43" s="1"/>
    </row>
    <row r="44" spans="2:23" ht="12.75">
      <c r="B44" s="1"/>
      <c r="C44" s="6"/>
      <c r="D44" s="1"/>
      <c r="E44" s="1"/>
      <c r="F44" s="1"/>
      <c r="G44" s="1"/>
      <c r="H44" s="27"/>
      <c r="I44" s="1"/>
      <c r="J44" s="1"/>
      <c r="K44" s="1"/>
      <c r="L44" s="1"/>
      <c r="M44" s="1"/>
      <c r="N44" s="1"/>
      <c r="P44" s="1"/>
      <c r="Q44" s="1"/>
      <c r="R44" s="1"/>
      <c r="S44" s="27"/>
      <c r="T44" s="1"/>
      <c r="U44" s="1"/>
      <c r="V44" s="1"/>
      <c r="W44" s="1"/>
    </row>
    <row r="45" spans="2:23" ht="12.75">
      <c r="B45" s="1"/>
      <c r="C45" s="1"/>
      <c r="D45" s="1"/>
      <c r="E45" s="1"/>
      <c r="F45" s="1"/>
      <c r="G45" s="1"/>
      <c r="H45" s="27"/>
      <c r="I45" s="1"/>
      <c r="J45" s="1"/>
      <c r="K45" s="1"/>
      <c r="L45" s="1"/>
      <c r="M45" s="1"/>
      <c r="N45" s="1"/>
      <c r="O45" s="1"/>
      <c r="P45" s="1"/>
      <c r="Q45" s="1"/>
      <c r="R45" s="1"/>
      <c r="S45" s="27"/>
      <c r="T45" s="1"/>
      <c r="U45" s="1"/>
      <c r="V45" s="1"/>
      <c r="W45" s="1"/>
    </row>
  </sheetData>
  <sheetProtection password="9BB1" sheet="1" objects="1" scenarios="1"/>
  <mergeCells count="8">
    <mergeCell ref="J39:M39"/>
    <mergeCell ref="D5:F5"/>
    <mergeCell ref="B3:V3"/>
    <mergeCell ref="P6:U6"/>
    <mergeCell ref="D6:I6"/>
    <mergeCell ref="K6:N6"/>
    <mergeCell ref="J9:L9"/>
    <mergeCell ref="J8:L8"/>
  </mergeCells>
  <printOptions/>
  <pageMargins left="0.5" right="0.5" top="0.5" bottom="0.5" header="0.5" footer="0.5"/>
  <pageSetup horizontalDpi="600" verticalDpi="600" orientation="landscape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43"/>
  <sheetViews>
    <sheetView showGridLines="0" showRowColHeaders="0" workbookViewId="0" topLeftCell="A1">
      <selection activeCell="A1" sqref="A1"/>
      <selection activeCell="J29" sqref="J29"/>
    </sheetView>
  </sheetViews>
  <sheetFormatPr defaultColWidth="9.140625" defaultRowHeight="12.75"/>
  <cols>
    <col min="1" max="1" width="2.57421875" style="8" customWidth="1"/>
    <col min="2" max="2" width="2.00390625" style="8" customWidth="1"/>
    <col min="3" max="3" width="26.28125" style="5" customWidth="1"/>
    <col min="4" max="4" width="10.28125" style="9" bestFit="1" customWidth="1"/>
    <col min="5" max="5" width="13.7109375" style="8" customWidth="1"/>
    <col min="6" max="6" width="12.00390625" style="103" customWidth="1"/>
    <col min="7" max="7" width="13.28125" style="8" customWidth="1"/>
    <col min="8" max="8" width="9.140625" style="8" customWidth="1"/>
    <col min="9" max="9" width="17.57421875" style="8" customWidth="1"/>
    <col min="10" max="10" width="9.140625" style="8" customWidth="1"/>
    <col min="11" max="11" width="11.421875" style="8" bestFit="1" customWidth="1"/>
    <col min="12" max="16384" width="9.140625" style="8" customWidth="1"/>
  </cols>
  <sheetData>
    <row r="2" ht="9" customHeight="1" thickBot="1"/>
    <row r="3" spans="2:7" ht="12.75">
      <c r="B3" s="11"/>
      <c r="C3" s="100"/>
      <c r="D3" s="100"/>
      <c r="E3" s="100"/>
      <c r="F3" s="33"/>
      <c r="G3" s="101"/>
    </row>
    <row r="4" spans="2:7" ht="12.75">
      <c r="B4" s="12"/>
      <c r="C4" s="2"/>
      <c r="D4" s="13"/>
      <c r="E4" s="10"/>
      <c r="F4" s="41"/>
      <c r="G4" s="102"/>
    </row>
    <row r="5" spans="2:7" ht="12.75">
      <c r="B5" s="12"/>
      <c r="C5" s="2"/>
      <c r="D5" s="13"/>
      <c r="E5" s="10"/>
      <c r="F5" s="104"/>
      <c r="G5" s="14"/>
    </row>
    <row r="6" spans="2:7" ht="12.75">
      <c r="B6" s="12"/>
      <c r="C6" s="171" t="s">
        <v>121</v>
      </c>
      <c r="D6" s="171"/>
      <c r="E6" s="171"/>
      <c r="F6" s="104"/>
      <c r="G6" s="14"/>
    </row>
    <row r="7" spans="2:7" ht="12.75">
      <c r="B7" s="12"/>
      <c r="C7" s="2"/>
      <c r="D7" s="13"/>
      <c r="E7" s="10"/>
      <c r="F7" s="104"/>
      <c r="G7" s="14"/>
    </row>
    <row r="8" spans="2:7" ht="12.75">
      <c r="B8" s="12"/>
      <c r="C8" s="2"/>
      <c r="D8" s="13"/>
      <c r="E8" s="10"/>
      <c r="F8" s="104"/>
      <c r="G8" s="14"/>
    </row>
    <row r="9" spans="2:7" ht="12.75">
      <c r="B9" s="12"/>
      <c r="C9" s="2"/>
      <c r="D9" s="13"/>
      <c r="E9" s="10"/>
      <c r="F9" s="104"/>
      <c r="G9" s="14"/>
    </row>
    <row r="10" spans="2:7" ht="12.75" customHeight="1">
      <c r="B10" s="12"/>
      <c r="C10" s="2" t="s">
        <v>145</v>
      </c>
      <c r="D10" s="168">
        <f>'Link Calculator'!K6</f>
        <v>0</v>
      </c>
      <c r="E10" s="168"/>
      <c r="F10" s="105"/>
      <c r="G10" s="14"/>
    </row>
    <row r="11" spans="2:7" ht="12.75">
      <c r="B11" s="35"/>
      <c r="C11" s="41" t="s">
        <v>4</v>
      </c>
      <c r="D11" s="10"/>
      <c r="E11" s="98">
        <f>'Link Calculator'!$L$29</f>
        <v>10</v>
      </c>
      <c r="F11" s="99" t="s">
        <v>101</v>
      </c>
      <c r="G11" s="30"/>
    </row>
    <row r="12" spans="2:7" ht="12.75">
      <c r="B12" s="12"/>
      <c r="C12" s="2" t="s">
        <v>104</v>
      </c>
      <c r="D12" s="10"/>
      <c r="E12" s="13">
        <f>Data!$L$36</f>
        <v>5.8</v>
      </c>
      <c r="F12" s="105" t="s">
        <v>115</v>
      </c>
      <c r="G12" s="14"/>
    </row>
    <row r="13" spans="2:7" ht="12.75">
      <c r="B13" s="12"/>
      <c r="C13" s="2" t="s">
        <v>0</v>
      </c>
      <c r="D13" s="10"/>
      <c r="E13" s="84">
        <f>-1*(96.6+20*LOG10('Link Calculator'!$L$29)+20*LOG10(Data!$L$36))</f>
        <v>-131.86855987125875</v>
      </c>
      <c r="F13" s="105" t="s">
        <v>103</v>
      </c>
      <c r="G13" s="14"/>
    </row>
    <row r="14" spans="2:7" ht="12.75">
      <c r="B14" s="19"/>
      <c r="C14" s="20"/>
      <c r="D14" s="22"/>
      <c r="E14" s="97"/>
      <c r="F14" s="106"/>
      <c r="G14" s="23"/>
    </row>
    <row r="15" spans="2:7" ht="12.75">
      <c r="B15" s="12"/>
      <c r="C15" s="2"/>
      <c r="D15" s="13"/>
      <c r="E15" s="10"/>
      <c r="F15" s="105"/>
      <c r="G15" s="14"/>
    </row>
    <row r="16" spans="2:7" ht="12.75">
      <c r="B16" s="12"/>
      <c r="C16" s="2"/>
      <c r="D16" s="167" t="s">
        <v>58</v>
      </c>
      <c r="E16" s="167"/>
      <c r="F16" s="82" t="s">
        <v>59</v>
      </c>
      <c r="G16" s="83"/>
    </row>
    <row r="17" spans="2:7" ht="27" customHeight="1">
      <c r="B17" s="12"/>
      <c r="C17" s="2" t="s">
        <v>75</v>
      </c>
      <c r="D17" s="172">
        <f>'Link Calculator'!D6:I6</f>
        <v>0</v>
      </c>
      <c r="E17" s="172"/>
      <c r="F17" s="173">
        <f>'Link Calculator'!P6</f>
        <v>0</v>
      </c>
      <c r="G17" s="174"/>
    </row>
    <row r="18" spans="2:7" ht="12.75">
      <c r="B18" s="12"/>
      <c r="C18" s="2" t="s">
        <v>67</v>
      </c>
      <c r="D18" s="13">
        <f>IF(Data!$L$28=2,Lat1,"")</f>
      </c>
      <c r="E18" s="13">
        <f>IF(Data!$L$28=2," deg","")</f>
      </c>
      <c r="F18" s="13">
        <f>IF(Data!$L$28=2,Lat2,"")</f>
      </c>
      <c r="G18" s="141">
        <f>IF(Data!$L$28=2," deg","")</f>
      </c>
    </row>
    <row r="19" spans="2:7" ht="12.75">
      <c r="B19" s="12"/>
      <c r="C19" s="2" t="s">
        <v>68</v>
      </c>
      <c r="D19" s="13">
        <f>IF(Data!$L$28=2,Lon1,"")</f>
      </c>
      <c r="E19" s="13">
        <f>IF(Data!$L$28=2," deg","")</f>
      </c>
      <c r="F19" s="13">
        <f>IF(Data!$L$28=2,Lon2,"")</f>
      </c>
      <c r="G19" s="141">
        <f>IF(Data!$L$28=2," deg","")</f>
      </c>
    </row>
    <row r="20" spans="2:7" ht="12.75">
      <c r="B20" s="12"/>
      <c r="C20" s="2" t="s">
        <v>111</v>
      </c>
      <c r="D20" s="13">
        <f>INDEX(Data!O36:O65,Data!L17)</f>
        <v>-85</v>
      </c>
      <c r="E20" s="10" t="s">
        <v>117</v>
      </c>
      <c r="F20" s="104">
        <f>INDEX(Data!O36:O65,Data!L17)</f>
        <v>-85</v>
      </c>
      <c r="G20" s="14" t="s">
        <v>117</v>
      </c>
    </row>
    <row r="21" spans="2:9" ht="12.75">
      <c r="B21" s="19"/>
      <c r="C21" s="20"/>
      <c r="D21" s="21"/>
      <c r="E21" s="22"/>
      <c r="F21" s="107"/>
      <c r="G21" s="23"/>
      <c r="I21"/>
    </row>
    <row r="22" spans="2:9" ht="33" customHeight="1">
      <c r="B22" s="12"/>
      <c r="C22" s="111"/>
      <c r="D22" s="175" t="s">
        <v>144</v>
      </c>
      <c r="E22" s="175"/>
      <c r="F22" s="175"/>
      <c r="G22" s="176"/>
      <c r="I22"/>
    </row>
    <row r="23" spans="2:9" ht="12.75">
      <c r="B23" s="12"/>
      <c r="C23" s="2" t="s">
        <v>60</v>
      </c>
      <c r="D23" s="13">
        <f>'Link Calculator'!H8</f>
        <v>24</v>
      </c>
      <c r="E23" s="10" t="s">
        <v>117</v>
      </c>
      <c r="F23" s="104">
        <f>'Link Calculator'!T8</f>
        <v>24</v>
      </c>
      <c r="G23" s="14" t="s">
        <v>117</v>
      </c>
      <c r="I23"/>
    </row>
    <row r="24" spans="2:9" ht="12.75">
      <c r="B24" s="12"/>
      <c r="C24" s="2" t="s">
        <v>107</v>
      </c>
      <c r="D24" s="13">
        <f>-Data!L49</f>
        <v>-4.76</v>
      </c>
      <c r="E24" s="10" t="s">
        <v>118</v>
      </c>
      <c r="F24" s="13">
        <f>-Data!L50</f>
        <v>-4.76</v>
      </c>
      <c r="G24" s="14" t="s">
        <v>118</v>
      </c>
      <c r="I24"/>
    </row>
    <row r="25" spans="2:11" ht="12.75">
      <c r="B25" s="12"/>
      <c r="C25" s="2" t="s">
        <v>108</v>
      </c>
      <c r="D25" s="13">
        <f>-'Link Calculator'!H30</f>
        <v>-0.5</v>
      </c>
      <c r="E25" s="10" t="s">
        <v>103</v>
      </c>
      <c r="F25" s="13">
        <f>-'Link Calculator'!T30</f>
        <v>-0.5</v>
      </c>
      <c r="G25" s="14" t="s">
        <v>103</v>
      </c>
      <c r="K25" s="86"/>
    </row>
    <row r="26" spans="2:11" ht="13.5" thickBot="1">
      <c r="B26" s="96"/>
      <c r="C26" s="95" t="s">
        <v>105</v>
      </c>
      <c r="D26" s="92">
        <f>Data!L37</f>
        <v>35</v>
      </c>
      <c r="E26" s="93" t="s">
        <v>116</v>
      </c>
      <c r="F26" s="108">
        <f>Data!L39</f>
        <v>35</v>
      </c>
      <c r="G26" s="94" t="s">
        <v>116</v>
      </c>
      <c r="I26" s="87"/>
      <c r="J26" s="88"/>
      <c r="K26" s="88"/>
    </row>
    <row r="27" spans="2:11" ht="13.5" thickTop="1">
      <c r="B27" s="12"/>
      <c r="C27" s="2" t="s">
        <v>114</v>
      </c>
      <c r="D27" s="13">
        <f>SUM(D23:D26)</f>
        <v>53.74</v>
      </c>
      <c r="E27" s="10" t="s">
        <v>119</v>
      </c>
      <c r="F27" s="104">
        <f>SUM(F23:F26)</f>
        <v>53.74</v>
      </c>
      <c r="G27" s="14" t="s">
        <v>119</v>
      </c>
      <c r="I27" s="87"/>
      <c r="J27" s="88"/>
      <c r="K27" s="88"/>
    </row>
    <row r="28" spans="2:11" ht="12.75">
      <c r="B28" s="12"/>
      <c r="C28" s="2"/>
      <c r="D28" s="169">
        <f>IF(AND(D27&gt;53,Data!$L$16=2,Data!$L$17=25),"EIRP LIMIT EXCEEDED!","")</f>
      </c>
      <c r="E28" s="169"/>
      <c r="F28" s="169">
        <f>IF(AND(F27&gt;53,Data!$L$16=2,Data!$L$17=25),"EIRP LIMIT EXCEEDED!","")</f>
      </c>
      <c r="G28" s="170"/>
      <c r="I28" s="87"/>
      <c r="J28" s="88"/>
      <c r="K28" s="88"/>
    </row>
    <row r="29" spans="2:11" ht="30.75" customHeight="1">
      <c r="B29" s="154"/>
      <c r="C29" s="153"/>
      <c r="D29" s="163">
        <f>IF(AND('Link Calculator'!$H$8&gt;(30-((Data!$L$37-6)/3)),Data!$L$16=1),"MAXIMUM  LEGAL TX POWER EXCEEDED","")</f>
      </c>
      <c r="E29" s="163"/>
      <c r="F29" s="163">
        <f>IF(AND('Link Calculator'!$T$8&gt;(30-((Data!$L$39-6)/3)),Data!$L$16=1),"MAXIMUM  LEGAL TX POWER EXCEEDED","")</f>
      </c>
      <c r="G29" s="164"/>
      <c r="I29" s="87"/>
      <c r="J29" s="88"/>
      <c r="K29" s="88"/>
    </row>
    <row r="30" spans="2:11" ht="36.75" customHeight="1">
      <c r="B30" s="12"/>
      <c r="C30" s="152"/>
      <c r="D30" s="165" t="s">
        <v>143</v>
      </c>
      <c r="E30" s="165"/>
      <c r="F30" s="165"/>
      <c r="G30" s="166"/>
      <c r="I30" s="87"/>
      <c r="J30" s="88"/>
      <c r="K30" s="89"/>
    </row>
    <row r="31" spans="2:11" ht="12.75">
      <c r="B31" s="12"/>
      <c r="C31" s="2" t="s">
        <v>140</v>
      </c>
      <c r="D31" s="84">
        <f>F27</f>
        <v>53.74</v>
      </c>
      <c r="E31" s="10" t="s">
        <v>119</v>
      </c>
      <c r="F31" s="109">
        <f>D27</f>
        <v>53.74</v>
      </c>
      <c r="G31" s="14" t="s">
        <v>119</v>
      </c>
      <c r="I31" s="87"/>
      <c r="J31" s="88"/>
      <c r="K31" s="90"/>
    </row>
    <row r="32" spans="2:11" ht="12.75">
      <c r="B32" s="12"/>
      <c r="C32" s="2" t="s">
        <v>106</v>
      </c>
      <c r="D32" s="13">
        <f>Data!L37</f>
        <v>35</v>
      </c>
      <c r="E32" s="10" t="s">
        <v>116</v>
      </c>
      <c r="F32" s="13">
        <f>Data!L39</f>
        <v>35</v>
      </c>
      <c r="G32" s="14" t="s">
        <v>116</v>
      </c>
      <c r="I32" s="87"/>
      <c r="J32" s="88"/>
      <c r="K32" s="88"/>
    </row>
    <row r="33" spans="2:11" ht="12.75">
      <c r="B33" s="12"/>
      <c r="C33" s="2" t="s">
        <v>109</v>
      </c>
      <c r="D33" s="13">
        <f>-Data!L49</f>
        <v>-4.76</v>
      </c>
      <c r="E33" s="10" t="s">
        <v>118</v>
      </c>
      <c r="F33" s="13">
        <f>-Data!L50</f>
        <v>-4.76</v>
      </c>
      <c r="G33" s="14" t="s">
        <v>118</v>
      </c>
      <c r="I33" s="87"/>
      <c r="J33" s="88"/>
      <c r="K33" s="88"/>
    </row>
    <row r="34" spans="2:11" ht="13.5" thickBot="1">
      <c r="B34" s="96"/>
      <c r="C34" s="95" t="s">
        <v>122</v>
      </c>
      <c r="D34" s="92">
        <f>D25</f>
        <v>-0.5</v>
      </c>
      <c r="E34" s="93" t="s">
        <v>103</v>
      </c>
      <c r="F34" s="92">
        <f>F25</f>
        <v>-0.5</v>
      </c>
      <c r="G34" s="94" t="s">
        <v>103</v>
      </c>
      <c r="I34" s="87"/>
      <c r="J34" s="88"/>
      <c r="K34" s="88"/>
    </row>
    <row r="35" spans="2:11" ht="13.5" thickTop="1">
      <c r="B35" s="12"/>
      <c r="C35" s="2" t="s">
        <v>110</v>
      </c>
      <c r="D35" s="13">
        <f>SUM(D31:D34)+E13</f>
        <v>-48.38855987125875</v>
      </c>
      <c r="E35" s="10" t="s">
        <v>117</v>
      </c>
      <c r="F35" s="13">
        <f>SUM(F31:F34)+E13</f>
        <v>-48.38855987125875</v>
      </c>
      <c r="G35" s="14" t="s">
        <v>117</v>
      </c>
      <c r="I35" s="87"/>
      <c r="J35" s="88"/>
      <c r="K35" s="88"/>
    </row>
    <row r="36" spans="2:11" ht="12.75">
      <c r="B36" s="19"/>
      <c r="C36" s="20"/>
      <c r="D36" s="21"/>
      <c r="E36" s="22"/>
      <c r="F36" s="21"/>
      <c r="G36" s="23"/>
      <c r="I36" s="87"/>
      <c r="J36" s="88"/>
      <c r="K36" s="88"/>
    </row>
    <row r="37" spans="2:11" ht="12.75">
      <c r="B37" s="12"/>
      <c r="C37" s="2"/>
      <c r="D37" s="13"/>
      <c r="E37" s="10"/>
      <c r="F37" s="104"/>
      <c r="G37" s="14"/>
      <c r="I37" s="87"/>
      <c r="J37" s="88"/>
      <c r="K37" s="88"/>
    </row>
    <row r="38" spans="2:11" ht="12.75">
      <c r="B38" s="12"/>
      <c r="C38" s="2" t="s">
        <v>1</v>
      </c>
      <c r="D38" s="13">
        <f>-D20+D35</f>
        <v>36.61144012874125</v>
      </c>
      <c r="E38" s="10" t="s">
        <v>103</v>
      </c>
      <c r="F38" s="104">
        <f>-F20+F35</f>
        <v>36.61144012874125</v>
      </c>
      <c r="G38" s="14" t="s">
        <v>103</v>
      </c>
      <c r="I38" s="87"/>
      <c r="J38" s="88"/>
      <c r="K38" s="88"/>
    </row>
    <row r="39" spans="2:11" ht="12.75">
      <c r="B39" s="12"/>
      <c r="C39" s="2" t="s">
        <v>10</v>
      </c>
      <c r="D39" s="149">
        <f>IF(D38&lt;0,0,1-(INDEX(Data!$O$21:$O$23,Data!$L$19)*INDEX(Data!$O$29:$O$31,Data!$L$18)*0.0000025*Data!$L$36*POWER('Link Calculator'!$L$29,3)*POWER(10,(-1*'Path Summary'!$D$38/10))))</f>
        <v>0.99999920902274</v>
      </c>
      <c r="E39" s="10"/>
      <c r="F39" s="150">
        <f>IF(F38&lt;0,0,1-INDEX(Data!O21:O23,Data!L19)*INDEX(Data!O29:O31,Data!L18)*0.0000025*Data!L36*POWER('Link Calculator'!L29,3)*POWER(10,(-1*'Path Summary'!F38/10)))</f>
        <v>0.99999920902274</v>
      </c>
      <c r="G39" s="14"/>
      <c r="I39" s="87"/>
      <c r="J39" s="88"/>
      <c r="K39" s="88"/>
    </row>
    <row r="40" spans="2:11" ht="12.75">
      <c r="B40" s="12"/>
      <c r="C40" s="2" t="s">
        <v>112</v>
      </c>
      <c r="D40" s="13">
        <f>365*24*60*(1-D39)</f>
        <v>0.41573764786830836</v>
      </c>
      <c r="E40" s="10" t="s">
        <v>120</v>
      </c>
      <c r="F40" s="13">
        <f>365*24*60*(1-F39)</f>
        <v>0.41573764786830836</v>
      </c>
      <c r="G40" s="14" t="s">
        <v>120</v>
      </c>
      <c r="I40" s="91"/>
      <c r="J40" s="88"/>
      <c r="K40" s="88"/>
    </row>
    <row r="41" spans="2:7" ht="7.5" customHeight="1" thickBot="1">
      <c r="B41" s="15"/>
      <c r="C41" s="3"/>
      <c r="D41" s="16"/>
      <c r="E41" s="17"/>
      <c r="F41" s="110"/>
      <c r="G41" s="18"/>
    </row>
    <row r="42" ht="12.75">
      <c r="I42" s="85"/>
    </row>
    <row r="43" ht="12.75">
      <c r="I43" s="85"/>
    </row>
  </sheetData>
  <sheetProtection password="9BB1" sheet="1" objects="1" scenarios="1"/>
  <mergeCells count="11">
    <mergeCell ref="C6:E6"/>
    <mergeCell ref="D17:E17"/>
    <mergeCell ref="F17:G17"/>
    <mergeCell ref="D22:G22"/>
    <mergeCell ref="F29:G29"/>
    <mergeCell ref="D30:G30"/>
    <mergeCell ref="D16:E16"/>
    <mergeCell ref="D10:E10"/>
    <mergeCell ref="D28:E28"/>
    <mergeCell ref="F28:G28"/>
    <mergeCell ref="D29:E29"/>
  </mergeCells>
  <printOptions/>
  <pageMargins left="0.5" right="0.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1">
    <pageSetUpPr fitToPage="1"/>
  </sheetPr>
  <dimension ref="A7:U129"/>
  <sheetViews>
    <sheetView showGridLines="0" showRowColHeaders="0" workbookViewId="0" topLeftCell="A6">
      <selection activeCell="A1" sqref="A1"/>
      <selection activeCell="B6" sqref="B1:Q16384"/>
    </sheetView>
  </sheetViews>
  <sheetFormatPr defaultColWidth="9.140625" defaultRowHeight="12.75"/>
  <cols>
    <col min="1" max="1" width="3.57421875" style="112" customWidth="1"/>
    <col min="2" max="2" width="3.7109375" style="112" hidden="1" customWidth="1"/>
    <col min="3" max="3" width="40.140625" style="112" hidden="1" customWidth="1"/>
    <col min="4" max="4" width="9.28125" style="112" hidden="1" customWidth="1"/>
    <col min="5" max="5" width="6.140625" style="112" hidden="1" customWidth="1"/>
    <col min="6" max="6" width="3.57421875" style="112" hidden="1" customWidth="1"/>
    <col min="7" max="7" width="40.00390625" style="112" hidden="1" customWidth="1"/>
    <col min="8" max="8" width="0" style="112" hidden="1" customWidth="1"/>
    <col min="9" max="10" width="3.28125" style="112" hidden="1" customWidth="1"/>
    <col min="11" max="11" width="29.421875" style="112" hidden="1" customWidth="1"/>
    <col min="12" max="12" width="12.28125" style="112" hidden="1" customWidth="1"/>
    <col min="13" max="13" width="3.28125" style="112" hidden="1" customWidth="1"/>
    <col min="14" max="14" width="39.57421875" style="112" hidden="1" customWidth="1"/>
    <col min="15" max="15" width="9.140625" style="112" hidden="1" customWidth="1"/>
    <col min="16" max="16" width="0.13671875" style="112" hidden="1" customWidth="1"/>
    <col min="17" max="17" width="27.57421875" style="112" hidden="1" customWidth="1"/>
    <col min="18" max="18" width="6.140625" style="73" customWidth="1"/>
    <col min="19" max="19" width="8.7109375" style="73" customWidth="1"/>
    <col min="20" max="20" width="26.57421875" style="73" customWidth="1"/>
    <col min="21" max="21" width="7.140625" style="73" customWidth="1"/>
    <col min="22" max="16384" width="11.421875" style="73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7" spans="2:9" ht="12.75">
      <c r="B7" s="113"/>
      <c r="C7" s="113"/>
      <c r="D7" s="113"/>
      <c r="E7" s="113"/>
      <c r="F7" s="113"/>
      <c r="G7" s="113"/>
      <c r="H7" s="113"/>
      <c r="I7" s="113"/>
    </row>
    <row r="8" spans="2:9" ht="12.75">
      <c r="B8" s="113"/>
      <c r="C8" s="113"/>
      <c r="D8" s="113"/>
      <c r="E8" s="113"/>
      <c r="F8" s="113"/>
      <c r="G8" s="113"/>
      <c r="H8" s="113"/>
      <c r="I8" s="113"/>
    </row>
    <row r="9" spans="2:9" ht="12.75">
      <c r="B9" s="113"/>
      <c r="C9" s="113"/>
      <c r="D9" s="113"/>
      <c r="E9" s="113"/>
      <c r="F9" s="113"/>
      <c r="G9" s="113"/>
      <c r="H9" s="113"/>
      <c r="I9" s="113"/>
    </row>
    <row r="10" spans="2:9" ht="12.75">
      <c r="B10" s="113"/>
      <c r="C10" s="113"/>
      <c r="D10" s="113"/>
      <c r="E10" s="113"/>
      <c r="F10" s="113"/>
      <c r="G10" s="113"/>
      <c r="H10" s="113"/>
      <c r="I10" s="113"/>
    </row>
    <row r="11" spans="2:9" ht="12.75">
      <c r="B11" s="113"/>
      <c r="C11" s="113"/>
      <c r="D11" s="113"/>
      <c r="E11" s="113"/>
      <c r="F11" s="113"/>
      <c r="G11" s="113"/>
      <c r="H11" s="113"/>
      <c r="I11" s="113"/>
    </row>
    <row r="12" spans="1:17" s="74" customFormat="1" ht="27.75" customHeight="1">
      <c r="A12" s="114"/>
      <c r="B12" s="113"/>
      <c r="C12" s="113"/>
      <c r="D12" s="113"/>
      <c r="E12" s="113"/>
      <c r="F12" s="113"/>
      <c r="G12" s="113"/>
      <c r="H12" s="113"/>
      <c r="I12" s="113"/>
      <c r="J12" s="112"/>
      <c r="K12" s="112"/>
      <c r="L12" s="112"/>
      <c r="M12" s="112"/>
      <c r="N12" s="114"/>
      <c r="O12" s="114"/>
      <c r="P12" s="114"/>
      <c r="Q12" s="114"/>
    </row>
    <row r="13" spans="1:17" ht="12.75">
      <c r="A13" s="115"/>
      <c r="B13" s="115"/>
      <c r="C13" s="115"/>
      <c r="D13" s="115"/>
      <c r="E13" s="115"/>
      <c r="F13" s="115"/>
      <c r="G13" s="115"/>
      <c r="H13" s="115"/>
      <c r="I13" s="115"/>
      <c r="Q13" s="112" t="s">
        <v>146</v>
      </c>
    </row>
    <row r="14" spans="1:21" ht="12.75">
      <c r="A14" s="115"/>
      <c r="B14" s="115"/>
      <c r="C14" s="116"/>
      <c r="D14" s="115"/>
      <c r="E14" s="115"/>
      <c r="F14" s="115"/>
      <c r="G14" s="116"/>
      <c r="H14" s="115"/>
      <c r="I14" s="115"/>
      <c r="Q14" s="112" t="s">
        <v>147</v>
      </c>
      <c r="U14" s="75"/>
    </row>
    <row r="15" spans="1:17" ht="13.5" thickBot="1">
      <c r="A15" s="115"/>
      <c r="B15" s="115"/>
      <c r="C15" s="115"/>
      <c r="D15" s="115"/>
      <c r="E15" s="115"/>
      <c r="F15" s="115"/>
      <c r="G15" s="115"/>
      <c r="H15" s="115"/>
      <c r="I15" s="115"/>
      <c r="K15" s="142" t="s">
        <v>78</v>
      </c>
      <c r="L15" s="143"/>
      <c r="N15" s="117" t="s">
        <v>77</v>
      </c>
      <c r="Q15" s="112" t="s">
        <v>148</v>
      </c>
    </row>
    <row r="16" spans="1:17" ht="14.25" thickBot="1" thickTop="1">
      <c r="A16" s="115"/>
      <c r="B16" s="115"/>
      <c r="C16" s="118" t="s">
        <v>2</v>
      </c>
      <c r="D16" s="119"/>
      <c r="E16" s="115"/>
      <c r="F16" s="115"/>
      <c r="G16" s="118" t="s">
        <v>3</v>
      </c>
      <c r="H16" s="119"/>
      <c r="I16" s="119"/>
      <c r="K16" s="120" t="s">
        <v>71</v>
      </c>
      <c r="L16" s="25">
        <v>2</v>
      </c>
      <c r="N16" s="122" t="s">
        <v>82</v>
      </c>
      <c r="Q16" s="112" t="s">
        <v>150</v>
      </c>
    </row>
    <row r="17" spans="1:17" ht="13.5" thickTop="1">
      <c r="A17" s="115"/>
      <c r="B17" s="115"/>
      <c r="C17" s="122" t="s">
        <v>123</v>
      </c>
      <c r="E17" s="115"/>
      <c r="F17" s="115"/>
      <c r="G17" s="122" t="s">
        <v>123</v>
      </c>
      <c r="I17" s="123"/>
      <c r="K17" s="120" t="s">
        <v>70</v>
      </c>
      <c r="L17" s="25">
        <v>1</v>
      </c>
      <c r="N17" s="122" t="s">
        <v>83</v>
      </c>
      <c r="Q17" s="112" t="s">
        <v>174</v>
      </c>
    </row>
    <row r="18" spans="1:14" ht="12.75">
      <c r="A18" s="115"/>
      <c r="B18" s="115"/>
      <c r="C18" s="124" t="s">
        <v>156</v>
      </c>
      <c r="D18" s="123">
        <v>22</v>
      </c>
      <c r="E18" s="115"/>
      <c r="F18" s="115"/>
      <c r="G18" s="124" t="s">
        <v>163</v>
      </c>
      <c r="H18" s="123">
        <v>30</v>
      </c>
      <c r="I18" s="123"/>
      <c r="K18" s="120" t="s">
        <v>72</v>
      </c>
      <c r="L18" s="25">
        <v>2</v>
      </c>
      <c r="N18" s="125"/>
    </row>
    <row r="19" spans="1:12" ht="12.75">
      <c r="A19" s="115"/>
      <c r="B19" s="115"/>
      <c r="C19" s="124" t="s">
        <v>157</v>
      </c>
      <c r="D19" s="123">
        <v>25</v>
      </c>
      <c r="E19" s="115"/>
      <c r="F19" s="115"/>
      <c r="G19" s="124" t="s">
        <v>164</v>
      </c>
      <c r="H19" s="123">
        <v>33</v>
      </c>
      <c r="I19" s="123"/>
      <c r="K19" s="120" t="s">
        <v>73</v>
      </c>
      <c r="L19" s="25">
        <v>2</v>
      </c>
    </row>
    <row r="20" spans="1:15" ht="13.5" thickBot="1">
      <c r="A20" s="115"/>
      <c r="B20" s="115"/>
      <c r="C20" s="124" t="s">
        <v>158</v>
      </c>
      <c r="D20" s="123">
        <v>27</v>
      </c>
      <c r="E20" s="115"/>
      <c r="F20" s="115"/>
      <c r="G20" s="124" t="s">
        <v>165</v>
      </c>
      <c r="H20" s="123">
        <v>35</v>
      </c>
      <c r="I20" s="123"/>
      <c r="K20" s="120" t="s">
        <v>88</v>
      </c>
      <c r="L20" s="25">
        <v>4</v>
      </c>
      <c r="N20" s="142" t="s">
        <v>79</v>
      </c>
      <c r="O20" s="143"/>
    </row>
    <row r="21" spans="1:15" ht="13.5" thickTop="1">
      <c r="A21" s="115"/>
      <c r="B21" s="115"/>
      <c r="C21" s="124" t="s">
        <v>159</v>
      </c>
      <c r="D21" s="123">
        <v>31</v>
      </c>
      <c r="E21" s="115"/>
      <c r="F21" s="115"/>
      <c r="G21" s="124" t="s">
        <v>166</v>
      </c>
      <c r="H21" s="123">
        <v>39</v>
      </c>
      <c r="I21" s="123"/>
      <c r="K21" s="120" t="s">
        <v>87</v>
      </c>
      <c r="L21" s="25">
        <v>150</v>
      </c>
      <c r="N21" s="120" t="s">
        <v>5</v>
      </c>
      <c r="O21" s="121">
        <v>0.125</v>
      </c>
    </row>
    <row r="22" spans="1:15" ht="12.75">
      <c r="A22" s="115"/>
      <c r="B22" s="115"/>
      <c r="C22" s="124" t="s">
        <v>160</v>
      </c>
      <c r="D22" s="123">
        <v>33</v>
      </c>
      <c r="E22" s="115"/>
      <c r="F22" s="115"/>
      <c r="G22" s="124" t="s">
        <v>167</v>
      </c>
      <c r="H22" s="123">
        <v>41</v>
      </c>
      <c r="I22" s="123"/>
      <c r="K22" s="120" t="s">
        <v>86</v>
      </c>
      <c r="L22" s="25">
        <v>10</v>
      </c>
      <c r="N22" s="120" t="s">
        <v>6</v>
      </c>
      <c r="O22" s="121">
        <v>0.25</v>
      </c>
    </row>
    <row r="23" spans="1:15" ht="12.75">
      <c r="A23" s="115"/>
      <c r="B23" s="115"/>
      <c r="C23" s="124" t="s">
        <v>161</v>
      </c>
      <c r="D23" s="123">
        <v>35</v>
      </c>
      <c r="E23" s="115"/>
      <c r="F23" s="115"/>
      <c r="G23" s="124" t="s">
        <v>168</v>
      </c>
      <c r="H23" s="123">
        <v>43</v>
      </c>
      <c r="I23" s="123"/>
      <c r="K23" s="120" t="s">
        <v>92</v>
      </c>
      <c r="L23" s="25">
        <v>13</v>
      </c>
      <c r="N23" s="126" t="s">
        <v>7</v>
      </c>
      <c r="O23" s="127">
        <v>0.5</v>
      </c>
    </row>
    <row r="24" spans="1:15" ht="12.75">
      <c r="A24" s="115"/>
      <c r="B24" s="115"/>
      <c r="C24" s="128" t="s">
        <v>162</v>
      </c>
      <c r="D24" s="123">
        <v>37</v>
      </c>
      <c r="E24" s="115"/>
      <c r="F24" s="115"/>
      <c r="G24" s="124" t="s">
        <v>169</v>
      </c>
      <c r="H24" s="123">
        <v>45</v>
      </c>
      <c r="I24" s="115"/>
      <c r="K24" s="120" t="s">
        <v>89</v>
      </c>
      <c r="L24" s="25">
        <v>4</v>
      </c>
      <c r="N24" s="129"/>
      <c r="O24" s="129"/>
    </row>
    <row r="25" spans="1:15" ht="12.75">
      <c r="A25" s="115"/>
      <c r="B25" s="115"/>
      <c r="C25" s="115"/>
      <c r="D25" s="115"/>
      <c r="E25" s="115"/>
      <c r="F25" s="115"/>
      <c r="G25" s="125" t="s">
        <v>170</v>
      </c>
      <c r="H25" s="129">
        <v>46</v>
      </c>
      <c r="I25" s="115"/>
      <c r="K25" s="120" t="s">
        <v>90</v>
      </c>
      <c r="L25" s="25">
        <v>150</v>
      </c>
      <c r="N25" s="129"/>
      <c r="O25" s="129"/>
    </row>
    <row r="26" spans="1:15" ht="12.75">
      <c r="A26" s="115"/>
      <c r="B26" s="115"/>
      <c r="C26" s="115"/>
      <c r="D26" s="115"/>
      <c r="E26" s="115"/>
      <c r="F26" s="115"/>
      <c r="G26" s="115"/>
      <c r="H26" s="115"/>
      <c r="I26" s="115"/>
      <c r="K26" s="120" t="s">
        <v>91</v>
      </c>
      <c r="L26" s="25">
        <v>10</v>
      </c>
      <c r="N26" s="129"/>
      <c r="O26" s="129"/>
    </row>
    <row r="27" spans="1:12" ht="12.75">
      <c r="A27" s="115"/>
      <c r="B27" s="115"/>
      <c r="C27" s="115"/>
      <c r="D27" s="115"/>
      <c r="E27" s="115"/>
      <c r="F27" s="115"/>
      <c r="G27" s="115"/>
      <c r="H27" s="115"/>
      <c r="I27" s="115"/>
      <c r="K27" s="120" t="s">
        <v>99</v>
      </c>
      <c r="L27" s="25">
        <v>42</v>
      </c>
    </row>
    <row r="28" spans="1:15" ht="13.5" thickBot="1">
      <c r="A28" s="115"/>
      <c r="B28" s="115"/>
      <c r="C28" s="115"/>
      <c r="D28" s="115"/>
      <c r="E28" s="115"/>
      <c r="F28" s="115"/>
      <c r="G28" s="115"/>
      <c r="H28" s="115"/>
      <c r="I28" s="115"/>
      <c r="K28" s="120" t="s">
        <v>26</v>
      </c>
      <c r="L28" s="25">
        <v>1</v>
      </c>
      <c r="N28" s="142" t="s">
        <v>80</v>
      </c>
      <c r="O28" s="143"/>
    </row>
    <row r="29" spans="1:15" ht="13.5" thickTop="1">
      <c r="A29" s="115"/>
      <c r="B29" s="115"/>
      <c r="C29" s="115"/>
      <c r="D29" s="115"/>
      <c r="E29" s="115"/>
      <c r="F29" s="115"/>
      <c r="G29" s="115"/>
      <c r="H29" s="115"/>
      <c r="I29" s="115"/>
      <c r="K29" s="120" t="s">
        <v>24</v>
      </c>
      <c r="L29" s="25">
        <v>0</v>
      </c>
      <c r="N29" s="120" t="s">
        <v>8</v>
      </c>
      <c r="O29" s="121">
        <v>4</v>
      </c>
    </row>
    <row r="30" spans="1:15" ht="12.75">
      <c r="A30" s="115"/>
      <c r="B30" s="115"/>
      <c r="C30" s="115"/>
      <c r="D30" s="115"/>
      <c r="E30" s="115"/>
      <c r="F30" s="115"/>
      <c r="G30" s="115"/>
      <c r="H30" s="115"/>
      <c r="I30" s="115"/>
      <c r="K30" s="120" t="s">
        <v>93</v>
      </c>
      <c r="L30" s="25">
        <v>100</v>
      </c>
      <c r="N30" s="120" t="s">
        <v>6</v>
      </c>
      <c r="O30" s="121">
        <v>1</v>
      </c>
    </row>
    <row r="31" spans="1:15" ht="12.75">
      <c r="A31" s="115"/>
      <c r="B31" s="115"/>
      <c r="C31" s="115"/>
      <c r="D31" s="115"/>
      <c r="E31" s="115"/>
      <c r="F31" s="115"/>
      <c r="G31" s="115"/>
      <c r="H31" s="115"/>
      <c r="I31" s="115"/>
      <c r="K31" s="120" t="s">
        <v>94</v>
      </c>
      <c r="L31" s="25">
        <v>100</v>
      </c>
      <c r="N31" s="126" t="s">
        <v>9</v>
      </c>
      <c r="O31" s="127">
        <v>0.25</v>
      </c>
    </row>
    <row r="32" spans="1:12" ht="12.75">
      <c r="A32" s="115"/>
      <c r="B32" s="115"/>
      <c r="C32" s="115"/>
      <c r="D32" s="115"/>
      <c r="E32" s="115"/>
      <c r="F32" s="115"/>
      <c r="G32" s="115"/>
      <c r="H32" s="115"/>
      <c r="I32" s="115"/>
      <c r="K32" s="120" t="s">
        <v>95</v>
      </c>
      <c r="L32" s="25">
        <v>5</v>
      </c>
    </row>
    <row r="33" spans="1:12" ht="12.75">
      <c r="A33" s="115"/>
      <c r="B33" s="115"/>
      <c r="C33" s="115"/>
      <c r="D33" s="115"/>
      <c r="E33" s="115"/>
      <c r="F33" s="115"/>
      <c r="G33" s="115"/>
      <c r="H33" s="115"/>
      <c r="I33" s="115"/>
      <c r="K33" s="120" t="s">
        <v>96</v>
      </c>
      <c r="L33" s="25">
        <v>5</v>
      </c>
    </row>
    <row r="34" spans="1:12" ht="12.75">
      <c r="A34" s="115"/>
      <c r="B34" s="115"/>
      <c r="C34" s="115"/>
      <c r="D34" s="115"/>
      <c r="E34" s="115"/>
      <c r="F34" s="115"/>
      <c r="G34" s="115"/>
      <c r="H34" s="115"/>
      <c r="I34" s="115"/>
      <c r="K34" s="120" t="s">
        <v>13</v>
      </c>
      <c r="L34" s="25">
        <v>100</v>
      </c>
    </row>
    <row r="35" spans="1:15" ht="13.5" thickBot="1">
      <c r="A35" s="115"/>
      <c r="B35" s="115"/>
      <c r="C35" s="115"/>
      <c r="D35" s="115"/>
      <c r="E35" s="115"/>
      <c r="F35" s="115"/>
      <c r="G35" s="115"/>
      <c r="H35" s="115"/>
      <c r="I35" s="115"/>
      <c r="K35" s="120" t="s">
        <v>100</v>
      </c>
      <c r="L35" s="25">
        <f>ACOS(COS(L45)*COS(L46)*COS(L47)*COS(L48)+COS(L45)*SIN(L46)*COS(L47)*SIN(L48)+SIN(L45)*SIN(L47))*3963.34</f>
        <v>0</v>
      </c>
      <c r="N35" s="142" t="s">
        <v>81</v>
      </c>
      <c r="O35" s="143"/>
    </row>
    <row r="36" spans="1:15" ht="14.25" thickBot="1" thickTop="1">
      <c r="A36" s="115"/>
      <c r="B36" s="115"/>
      <c r="C36" s="115"/>
      <c r="D36" s="115"/>
      <c r="E36" s="115"/>
      <c r="F36" s="115"/>
      <c r="G36" s="115"/>
      <c r="H36" s="115"/>
      <c r="I36" s="115"/>
      <c r="K36" s="120" t="s">
        <v>102</v>
      </c>
      <c r="L36" s="80">
        <f>IF(L16=1,2.4,5.8)</f>
        <v>5.8</v>
      </c>
      <c r="N36" s="76" t="str">
        <f>IF($L$16=1,C62,G62)</f>
        <v>6420 Integrated, 8xT1 (-85 dBm)</v>
      </c>
      <c r="O36" s="146">
        <f>IF($L$16=1,D62,H62)</f>
        <v>-85</v>
      </c>
    </row>
    <row r="37" spans="1:15" ht="14.25" thickBot="1" thickTop="1">
      <c r="A37" s="115"/>
      <c r="B37" s="115"/>
      <c r="C37" s="115"/>
      <c r="D37" s="115"/>
      <c r="E37" s="115"/>
      <c r="F37" s="115"/>
      <c r="G37" s="115"/>
      <c r="H37" s="115"/>
      <c r="I37" s="115"/>
      <c r="K37" s="130" t="s">
        <v>125</v>
      </c>
      <c r="L37" s="25">
        <f>IF(L20=1,'Link Calculator'!H15,INDEX(O69:O77,L20))</f>
        <v>35</v>
      </c>
      <c r="N37" s="76" t="str">
        <f aca="true" t="shared" si="0" ref="N37:N44">IF($L$16=1,C63,G63)</f>
        <v>6420 Integrated, 4xT1 (-89 dBm)</v>
      </c>
      <c r="O37" s="146">
        <f aca="true" t="shared" si="1" ref="O37:O44">IF($L$16=1,D63,H63)</f>
        <v>-89</v>
      </c>
    </row>
    <row r="38" spans="1:15" ht="14.25" thickBot="1" thickTop="1">
      <c r="A38" s="115"/>
      <c r="B38" s="115"/>
      <c r="C38" s="115"/>
      <c r="D38" s="115"/>
      <c r="E38" s="115"/>
      <c r="F38" s="115"/>
      <c r="G38" s="115"/>
      <c r="H38" s="115"/>
      <c r="I38" s="115"/>
      <c r="K38" s="130" t="s">
        <v>126</v>
      </c>
      <c r="L38" s="25">
        <f>IF(L22=1,'Link Calculator'!H24,INDEX(O82:O97,L22))</f>
        <v>4.76</v>
      </c>
      <c r="N38" s="76" t="str">
        <f t="shared" si="0"/>
        <v>6420 Integrated, 2xT1 (-92 dBm)</v>
      </c>
      <c r="O38" s="146">
        <f t="shared" si="1"/>
        <v>-92</v>
      </c>
    </row>
    <row r="39" spans="1:15" ht="14.25" thickBot="1" thickTop="1">
      <c r="A39" s="115"/>
      <c r="B39" s="115"/>
      <c r="C39" s="115"/>
      <c r="D39" s="115"/>
      <c r="E39" s="115"/>
      <c r="F39" s="115"/>
      <c r="G39" s="115"/>
      <c r="H39" s="115"/>
      <c r="I39" s="115"/>
      <c r="K39" s="130" t="s">
        <v>127</v>
      </c>
      <c r="L39" s="25">
        <f>IF(L24=1,'Link Calculator'!T15,INDEX(O69:O77,L24))</f>
        <v>35</v>
      </c>
      <c r="N39" s="76" t="str">
        <f t="shared" si="0"/>
        <v>6420 Integrated, 8xE1 (-83 dBm)</v>
      </c>
      <c r="O39" s="146">
        <f t="shared" si="1"/>
        <v>-83</v>
      </c>
    </row>
    <row r="40" spans="1:15" ht="14.25" thickBot="1" thickTop="1">
      <c r="A40" s="115"/>
      <c r="B40" s="115"/>
      <c r="C40" s="131" t="s">
        <v>15</v>
      </c>
      <c r="D40" s="119"/>
      <c r="E40" s="115"/>
      <c r="F40" s="115"/>
      <c r="G40" s="131" t="s">
        <v>16</v>
      </c>
      <c r="H40" s="119"/>
      <c r="I40" s="119"/>
      <c r="K40" s="130" t="s">
        <v>128</v>
      </c>
      <c r="L40" s="25">
        <f>IF(L26=1,'Link Calculator'!T23,INDEX(O82:O97,L26))</f>
        <v>4.76</v>
      </c>
      <c r="N40" s="76" t="str">
        <f t="shared" si="0"/>
        <v>6420 Integrated, 4xE1 (-87 dBm)</v>
      </c>
      <c r="O40" s="146">
        <f t="shared" si="1"/>
        <v>-87</v>
      </c>
    </row>
    <row r="41" spans="1:15" ht="14.25" thickBot="1" thickTop="1">
      <c r="A41" s="115"/>
      <c r="B41" s="115"/>
      <c r="C41" s="132" t="s">
        <v>17</v>
      </c>
      <c r="D41" s="119"/>
      <c r="E41" s="115"/>
      <c r="F41" s="115"/>
      <c r="G41" s="132" t="s">
        <v>17</v>
      </c>
      <c r="H41" s="119"/>
      <c r="I41" s="119"/>
      <c r="K41" s="120" t="s">
        <v>131</v>
      </c>
      <c r="L41" s="25">
        <f>'Link Calculator'!D34+'Link Calculator'!E34/60+'Link Calculator'!F34/3600</f>
        <v>0</v>
      </c>
      <c r="N41" s="76" t="str">
        <f t="shared" si="0"/>
        <v>6420 Integrated, 2xE1 (-90 dBm)</v>
      </c>
      <c r="O41" s="146">
        <f t="shared" si="1"/>
        <v>-90</v>
      </c>
    </row>
    <row r="42" spans="1:15" ht="14.25" thickBot="1" thickTop="1">
      <c r="A42" s="115"/>
      <c r="B42" s="115"/>
      <c r="C42" s="122" t="s">
        <v>124</v>
      </c>
      <c r="E42" s="115"/>
      <c r="F42" s="115"/>
      <c r="G42" s="122" t="s">
        <v>124</v>
      </c>
      <c r="I42" s="123"/>
      <c r="K42" s="120" t="s">
        <v>132</v>
      </c>
      <c r="L42" s="25">
        <f>'Link Calculator'!D38+'Link Calculator'!E38/60+'Link Calculator'!F38/3600</f>
        <v>0</v>
      </c>
      <c r="N42" s="76" t="str">
        <f t="shared" si="0"/>
        <v>6420 Integrated, 16 Mbps Ethernet (-83 dBm)</v>
      </c>
      <c r="O42" s="146">
        <f t="shared" si="1"/>
        <v>-83</v>
      </c>
    </row>
    <row r="43" spans="1:15" ht="14.25" thickBot="1" thickTop="1">
      <c r="A43" s="115"/>
      <c r="B43" s="115"/>
      <c r="C43" s="124" t="s">
        <v>28</v>
      </c>
      <c r="D43" s="123">
        <v>8.67</v>
      </c>
      <c r="E43" s="115"/>
      <c r="F43" s="115"/>
      <c r="G43" s="124" t="s">
        <v>42</v>
      </c>
      <c r="H43" s="123">
        <v>11.3</v>
      </c>
      <c r="I43" s="123"/>
      <c r="K43" s="120" t="s">
        <v>133</v>
      </c>
      <c r="L43" s="25">
        <f>'Link Calculator'!P34+'Link Calculator'!Q34/60+'Link Calculator'!R34/3600</f>
        <v>0</v>
      </c>
      <c r="N43" s="76" t="str">
        <f t="shared" si="0"/>
        <v>6420 Integrated, 8 Mbps Ethernet (-87 dBm)</v>
      </c>
      <c r="O43" s="146">
        <f t="shared" si="1"/>
        <v>-87</v>
      </c>
    </row>
    <row r="44" spans="1:15" ht="14.25" thickBot="1" thickTop="1">
      <c r="A44" s="115"/>
      <c r="B44" s="115"/>
      <c r="C44" s="124" t="s">
        <v>27</v>
      </c>
      <c r="D44" s="123">
        <v>6.8</v>
      </c>
      <c r="E44" s="115"/>
      <c r="F44" s="115"/>
      <c r="G44" s="124" t="s">
        <v>43</v>
      </c>
      <c r="H44" s="123">
        <v>10.8</v>
      </c>
      <c r="I44" s="123"/>
      <c r="K44" s="120" t="s">
        <v>134</v>
      </c>
      <c r="L44" s="25">
        <f>'Link Calculator'!P38+'Link Calculator'!Q38/60+'Link Calculator'!R38/3600</f>
        <v>0</v>
      </c>
      <c r="N44" s="76" t="str">
        <f t="shared" si="0"/>
        <v>6420 Integrated, 4 Mbps Ethernet (-90 dBm)</v>
      </c>
      <c r="O44" s="146">
        <f t="shared" si="1"/>
        <v>-90</v>
      </c>
    </row>
    <row r="45" spans="1:15" ht="14.25" thickBot="1" thickTop="1">
      <c r="A45" s="115"/>
      <c r="B45" s="115"/>
      <c r="C45" s="124" t="s">
        <v>30</v>
      </c>
      <c r="D45" s="123">
        <v>5.91</v>
      </c>
      <c r="E45" s="115"/>
      <c r="F45" s="115"/>
      <c r="G45" s="124" t="s">
        <v>44</v>
      </c>
      <c r="H45" s="123">
        <v>9.79</v>
      </c>
      <c r="I45" s="123"/>
      <c r="K45" s="120" t="s">
        <v>136</v>
      </c>
      <c r="L45" s="25">
        <f>RADIANS(Lat1)</f>
        <v>0</v>
      </c>
      <c r="N45" s="76" t="str">
        <f aca="true" t="shared" si="2" ref="N45:N50">IF($L$16=1,C71,G71)</f>
        <v>6200/6320 Split, 8xT1 (-85 dBm)</v>
      </c>
      <c r="O45" s="146">
        <f aca="true" t="shared" si="3" ref="O45:O53">IF($L$16=1,D71,H71)</f>
        <v>-85</v>
      </c>
    </row>
    <row r="46" spans="1:15" ht="14.25" thickBot="1" thickTop="1">
      <c r="A46" s="115"/>
      <c r="B46" s="115"/>
      <c r="C46" s="124" t="s">
        <v>29</v>
      </c>
      <c r="D46" s="123">
        <v>5.37</v>
      </c>
      <c r="E46" s="115"/>
      <c r="F46" s="115"/>
      <c r="G46" s="124" t="s">
        <v>45</v>
      </c>
      <c r="H46" s="123">
        <v>10.5</v>
      </c>
      <c r="I46" s="129"/>
      <c r="K46" s="120" t="s">
        <v>137</v>
      </c>
      <c r="L46" s="25">
        <f>RADIANS(Lon1)</f>
        <v>0</v>
      </c>
      <c r="N46" s="76" t="str">
        <f t="shared" si="2"/>
        <v>6200/6320 Split, 4xT1 (-89 dBm)</v>
      </c>
      <c r="O46" s="146">
        <f t="shared" si="3"/>
        <v>-89</v>
      </c>
    </row>
    <row r="47" spans="1:15" ht="14.25" thickBot="1" thickTop="1">
      <c r="A47" s="115"/>
      <c r="B47" s="115"/>
      <c r="C47" s="133" t="s">
        <v>31</v>
      </c>
      <c r="D47" s="123">
        <v>5.48</v>
      </c>
      <c r="E47" s="115"/>
      <c r="F47" s="115"/>
      <c r="G47" s="133" t="s">
        <v>46</v>
      </c>
      <c r="H47" s="129">
        <v>8.9</v>
      </c>
      <c r="I47" s="115"/>
      <c r="K47" s="120" t="s">
        <v>138</v>
      </c>
      <c r="L47" s="25">
        <f>RADIANS(Lat2)</f>
        <v>0</v>
      </c>
      <c r="N47" s="76" t="str">
        <f t="shared" si="2"/>
        <v>6200/6320 Split, 2xT1 (-92 dBm)</v>
      </c>
      <c r="O47" s="146">
        <f t="shared" si="3"/>
        <v>-92</v>
      </c>
    </row>
    <row r="48" spans="1:15" ht="14.25" thickBot="1" thickTop="1">
      <c r="A48" s="115"/>
      <c r="B48" s="115"/>
      <c r="C48" s="133" t="s">
        <v>32</v>
      </c>
      <c r="D48" s="123">
        <v>4.42</v>
      </c>
      <c r="E48" s="115"/>
      <c r="F48" s="115"/>
      <c r="G48" s="133" t="s">
        <v>47</v>
      </c>
      <c r="H48" s="129">
        <v>7.3</v>
      </c>
      <c r="I48" s="115"/>
      <c r="K48" s="120" t="s">
        <v>139</v>
      </c>
      <c r="L48" s="25">
        <f>RADIANS(Lon2)</f>
        <v>0</v>
      </c>
      <c r="N48" s="76" t="str">
        <f t="shared" si="2"/>
        <v>6200/6320 Split, 8xE1 (-83 dBm)</v>
      </c>
      <c r="O48" s="146">
        <f t="shared" si="3"/>
        <v>-83</v>
      </c>
    </row>
    <row r="49" spans="1:15" ht="14.25" thickBot="1" thickTop="1">
      <c r="A49" s="115"/>
      <c r="B49" s="115"/>
      <c r="C49" s="124" t="s">
        <v>37</v>
      </c>
      <c r="D49" s="123">
        <v>3.91</v>
      </c>
      <c r="E49" s="115"/>
      <c r="F49" s="115"/>
      <c r="G49" s="124" t="s">
        <v>48</v>
      </c>
      <c r="H49" s="129">
        <v>6.11</v>
      </c>
      <c r="I49" s="115"/>
      <c r="K49" s="130" t="s">
        <v>141</v>
      </c>
      <c r="L49" s="140">
        <f>L38*L30/100</f>
        <v>4.76</v>
      </c>
      <c r="N49" s="76" t="str">
        <f t="shared" si="2"/>
        <v>6200/6320 Split, 4xE1 (-87 dBm)</v>
      </c>
      <c r="O49" s="146">
        <f t="shared" si="3"/>
        <v>-87</v>
      </c>
    </row>
    <row r="50" spans="1:15" ht="14.25" thickBot="1" thickTop="1">
      <c r="A50" s="115"/>
      <c r="B50" s="115"/>
      <c r="C50" s="133" t="s">
        <v>33</v>
      </c>
      <c r="D50" s="123">
        <v>2.98</v>
      </c>
      <c r="E50" s="115"/>
      <c r="F50" s="115"/>
      <c r="G50" s="133" t="s">
        <v>49</v>
      </c>
      <c r="H50" s="129">
        <v>4.9</v>
      </c>
      <c r="I50" s="115"/>
      <c r="K50" s="130" t="s">
        <v>142</v>
      </c>
      <c r="L50" s="140">
        <f>L40*L31/100</f>
        <v>4.76</v>
      </c>
      <c r="N50" s="76" t="str">
        <f t="shared" si="2"/>
        <v>6200/6320 Split, 2xE1 (-90 dBm)</v>
      </c>
      <c r="O50" s="146">
        <f t="shared" si="3"/>
        <v>-90</v>
      </c>
    </row>
    <row r="51" spans="1:15" ht="14.25" thickBot="1" thickTop="1">
      <c r="A51" s="115"/>
      <c r="B51" s="115"/>
      <c r="C51" s="124" t="s">
        <v>38</v>
      </c>
      <c r="D51" s="129">
        <v>2.44</v>
      </c>
      <c r="E51" s="115"/>
      <c r="F51" s="115"/>
      <c r="G51" s="124" t="s">
        <v>50</v>
      </c>
      <c r="H51" s="129">
        <v>4.76</v>
      </c>
      <c r="I51" s="115"/>
      <c r="K51" s="130" t="s">
        <v>177</v>
      </c>
      <c r="L51" s="25">
        <v>24</v>
      </c>
      <c r="N51" s="76" t="str">
        <f>IF($L$16=1,"",G77)</f>
        <v>6200/6320 Split, 16 Mbps Ethernet (-83 dBm)</v>
      </c>
      <c r="O51" s="146">
        <f t="shared" si="3"/>
        <v>-83</v>
      </c>
    </row>
    <row r="52" spans="1:15" ht="14.25" thickBot="1" thickTop="1">
      <c r="A52" s="115"/>
      <c r="B52" s="115"/>
      <c r="C52" s="133" t="s">
        <v>34</v>
      </c>
      <c r="D52" s="129">
        <v>2.26</v>
      </c>
      <c r="E52" s="115"/>
      <c r="F52" s="115"/>
      <c r="G52" s="128" t="s">
        <v>51</v>
      </c>
      <c r="H52" s="129">
        <v>1.23</v>
      </c>
      <c r="I52" s="115"/>
      <c r="K52" s="134" t="s">
        <v>178</v>
      </c>
      <c r="L52" s="155">
        <v>24</v>
      </c>
      <c r="N52" s="76" t="str">
        <f aca="true" t="shared" si="4" ref="N52:N64">IF($L$16=1,"",G78)</f>
        <v>6200/6320 Split, 8 Mbps Ethernet (-87 dBm)</v>
      </c>
      <c r="O52" s="146">
        <f t="shared" si="3"/>
        <v>-87</v>
      </c>
    </row>
    <row r="53" spans="1:15" ht="14.25" thickBot="1" thickTop="1">
      <c r="A53" s="115"/>
      <c r="B53" s="115"/>
      <c r="C53" s="124" t="s">
        <v>39</v>
      </c>
      <c r="D53" s="129">
        <v>2.27</v>
      </c>
      <c r="E53" s="115"/>
      <c r="F53" s="115"/>
      <c r="G53" s="115"/>
      <c r="H53" s="115"/>
      <c r="I53" s="115"/>
      <c r="N53" s="76" t="str">
        <f t="shared" si="4"/>
        <v>6200/6320 Split, 4 Mbps Ethernet (-90 dBm)</v>
      </c>
      <c r="O53" s="146">
        <f t="shared" si="3"/>
        <v>-90</v>
      </c>
    </row>
    <row r="54" spans="1:15" ht="14.25" thickBot="1" thickTop="1">
      <c r="A54" s="115"/>
      <c r="B54" s="115"/>
      <c r="C54" s="133" t="s">
        <v>35</v>
      </c>
      <c r="D54" s="129">
        <v>1.71</v>
      </c>
      <c r="E54" s="115"/>
      <c r="F54" s="115"/>
      <c r="G54" s="115"/>
      <c r="H54" s="115"/>
      <c r="I54" s="115"/>
      <c r="N54" s="76" t="str">
        <f t="shared" si="4"/>
        <v>4208, 8xT1 (-85 dBm)</v>
      </c>
      <c r="O54" s="146">
        <f aca="true" t="shared" si="5" ref="O54:O59">IF($L$16=1,D71,H80)</f>
        <v>-85</v>
      </c>
    </row>
    <row r="55" spans="1:15" ht="14.25" thickBot="1" thickTop="1">
      <c r="A55" s="115"/>
      <c r="B55" s="115"/>
      <c r="C55" s="124" t="s">
        <v>40</v>
      </c>
      <c r="D55" s="129">
        <v>1.68</v>
      </c>
      <c r="E55" s="115"/>
      <c r="F55" s="115"/>
      <c r="G55" s="115"/>
      <c r="H55" s="115"/>
      <c r="I55" s="115"/>
      <c r="N55" s="76" t="str">
        <f t="shared" si="4"/>
        <v>4206, 4xT1 (-90 dBm)</v>
      </c>
      <c r="O55" s="146">
        <f t="shared" si="5"/>
        <v>-90</v>
      </c>
    </row>
    <row r="56" spans="1:15" ht="14.25" thickBot="1" thickTop="1">
      <c r="A56" s="115"/>
      <c r="B56" s="115"/>
      <c r="C56" s="124" t="s">
        <v>41</v>
      </c>
      <c r="D56" s="129">
        <v>1.44</v>
      </c>
      <c r="E56" s="115"/>
      <c r="F56" s="115"/>
      <c r="G56" s="115"/>
      <c r="H56" s="115"/>
      <c r="I56" s="115"/>
      <c r="N56" s="76" t="str">
        <f t="shared" si="4"/>
        <v>4202, 2xT1 (-93 dBm)</v>
      </c>
      <c r="O56" s="146">
        <f t="shared" si="5"/>
        <v>-93</v>
      </c>
    </row>
    <row r="57" spans="1:15" ht="14.25" thickBot="1" thickTop="1">
      <c r="A57" s="115"/>
      <c r="B57" s="115"/>
      <c r="C57" s="128" t="s">
        <v>36</v>
      </c>
      <c r="D57" s="129">
        <v>0.45</v>
      </c>
      <c r="E57" s="115"/>
      <c r="F57" s="115"/>
      <c r="G57" s="115"/>
      <c r="H57" s="115"/>
      <c r="I57" s="115"/>
      <c r="N57" s="76" t="str">
        <f t="shared" si="4"/>
        <v>5045, 45 Mbps Switch (-78 dBm)</v>
      </c>
      <c r="O57" s="146">
        <f t="shared" si="5"/>
        <v>-78</v>
      </c>
    </row>
    <row r="58" spans="1:15" ht="14.25" thickBot="1" thickTop="1">
      <c r="A58" s="115"/>
      <c r="B58" s="115"/>
      <c r="C58" s="115"/>
      <c r="D58" s="115"/>
      <c r="E58" s="115"/>
      <c r="F58" s="115"/>
      <c r="G58" s="115"/>
      <c r="H58" s="115"/>
      <c r="I58" s="115"/>
      <c r="N58" s="76" t="str">
        <f t="shared" si="4"/>
        <v>4205,  ISM Band DS3 (-78 dBm)</v>
      </c>
      <c r="O58" s="146">
        <f t="shared" si="5"/>
        <v>-78</v>
      </c>
    </row>
    <row r="59" spans="1:15" ht="14.25" customHeight="1" thickBot="1" thickTop="1">
      <c r="A59" s="115"/>
      <c r="B59" s="115"/>
      <c r="C59" s="115"/>
      <c r="D59" s="115"/>
      <c r="E59" s="119"/>
      <c r="F59" s="115"/>
      <c r="G59" s="115"/>
      <c r="H59" s="115"/>
      <c r="I59" s="115"/>
      <c r="N59" s="76" t="str">
        <f t="shared" si="4"/>
        <v>4203, 2xT1 (-90 dBm)</v>
      </c>
      <c r="O59" s="146">
        <f t="shared" si="5"/>
        <v>-90</v>
      </c>
    </row>
    <row r="60" spans="1:15" ht="14.25" customHeight="1" thickBot="1" thickTop="1">
      <c r="A60" s="115"/>
      <c r="B60" s="115"/>
      <c r="C60" s="131" t="s">
        <v>52</v>
      </c>
      <c r="D60" s="119"/>
      <c r="E60" s="119"/>
      <c r="F60" s="115"/>
      <c r="G60" s="131" t="s">
        <v>53</v>
      </c>
      <c r="I60" s="119"/>
      <c r="K60" s="119"/>
      <c r="N60" s="76" t="str">
        <f t="shared" si="4"/>
        <v>4305, U-NII DS3  (-78 dBm)</v>
      </c>
      <c r="O60" s="146">
        <f>IF($L$16=1,D86,H86)</f>
        <v>-78</v>
      </c>
    </row>
    <row r="61" spans="1:15" ht="14.25" thickBot="1" thickTop="1">
      <c r="A61" s="115"/>
      <c r="B61" s="115"/>
      <c r="C61" s="132" t="s">
        <v>14</v>
      </c>
      <c r="D61" s="119"/>
      <c r="E61" s="115"/>
      <c r="F61" s="115"/>
      <c r="G61" s="132" t="s">
        <v>14</v>
      </c>
      <c r="I61" s="119"/>
      <c r="K61" s="119"/>
      <c r="N61" s="76" t="str">
        <f t="shared" si="4"/>
        <v>2xT1, Split System (-89 dBm)</v>
      </c>
      <c r="O61" s="146">
        <f>IF($L$16=1,D87,H87)</f>
        <v>-89</v>
      </c>
    </row>
    <row r="62" spans="1:15" ht="14.25" thickBot="1" thickTop="1">
      <c r="A62" s="115"/>
      <c r="B62" s="115"/>
      <c r="C62" s="122" t="s">
        <v>197</v>
      </c>
      <c r="D62" s="137">
        <v>-86</v>
      </c>
      <c r="E62" s="115"/>
      <c r="F62" s="115"/>
      <c r="G62" s="122" t="s">
        <v>188</v>
      </c>
      <c r="H62" s="137">
        <v>-85</v>
      </c>
      <c r="I62" s="137"/>
      <c r="K62" s="129"/>
      <c r="L62" s="137"/>
      <c r="N62" s="76" t="str">
        <f t="shared" si="4"/>
        <v>2xE1, Split System (-85 dBm)</v>
      </c>
      <c r="O62" s="146">
        <f>IF($L$16=1,D88,H88)</f>
        <v>-85</v>
      </c>
    </row>
    <row r="63" spans="1:15" ht="14.25" thickBot="1" thickTop="1">
      <c r="A63" s="115"/>
      <c r="B63" s="115"/>
      <c r="C63" s="122" t="s">
        <v>203</v>
      </c>
      <c r="D63" s="137">
        <v>-89</v>
      </c>
      <c r="E63" s="115"/>
      <c r="F63" s="115"/>
      <c r="G63" s="122" t="s">
        <v>189</v>
      </c>
      <c r="H63" s="137">
        <v>-89</v>
      </c>
      <c r="I63" s="137"/>
      <c r="K63" s="129"/>
      <c r="L63" s="137"/>
      <c r="N63" s="76" t="str">
        <f t="shared" si="4"/>
        <v>1xE1, Split System (-89 dBm)</v>
      </c>
      <c r="O63" s="146">
        <f>IF($L$16=1,D89,H89)</f>
        <v>-89</v>
      </c>
    </row>
    <row r="64" spans="1:15" ht="13.5" thickTop="1">
      <c r="A64" s="115"/>
      <c r="B64" s="115"/>
      <c r="C64" s="122" t="s">
        <v>198</v>
      </c>
      <c r="D64" s="137">
        <v>-93</v>
      </c>
      <c r="E64" s="115"/>
      <c r="F64" s="115"/>
      <c r="G64" s="122" t="s">
        <v>190</v>
      </c>
      <c r="H64" s="137">
        <v>-92</v>
      </c>
      <c r="I64" s="137"/>
      <c r="K64" s="129"/>
      <c r="L64" s="137"/>
      <c r="N64" s="76" t="str">
        <f t="shared" si="4"/>
        <v>2210/3202, Nx64 (-86 dBm)</v>
      </c>
      <c r="O64" s="146">
        <f>IF($L$16=1,D90,H90)</f>
        <v>-86</v>
      </c>
    </row>
    <row r="65" spans="1:15" ht="12.75">
      <c r="A65" s="115"/>
      <c r="B65" s="115"/>
      <c r="C65" s="122" t="s">
        <v>199</v>
      </c>
      <c r="D65" s="137">
        <v>-84</v>
      </c>
      <c r="E65" s="115"/>
      <c r="F65" s="115"/>
      <c r="G65" s="122" t="s">
        <v>191</v>
      </c>
      <c r="H65" s="137">
        <v>-83</v>
      </c>
      <c r="I65" s="137"/>
      <c r="K65" s="129"/>
      <c r="L65" s="129"/>
      <c r="N65" s="79"/>
      <c r="O65" s="78"/>
    </row>
    <row r="66" spans="1:15" ht="12.75">
      <c r="A66" s="115"/>
      <c r="B66" s="115"/>
      <c r="C66" s="122" t="s">
        <v>204</v>
      </c>
      <c r="D66" s="137">
        <v>-87</v>
      </c>
      <c r="E66" s="115"/>
      <c r="F66" s="115"/>
      <c r="G66" s="122" t="s">
        <v>192</v>
      </c>
      <c r="H66" s="137">
        <v>-87</v>
      </c>
      <c r="I66" s="115"/>
      <c r="K66" s="129"/>
      <c r="L66" s="139"/>
      <c r="N66" s="147" t="s">
        <v>175</v>
      </c>
      <c r="O66" s="147"/>
    </row>
    <row r="67" spans="1:15" ht="12.75">
      <c r="A67" s="115"/>
      <c r="B67" s="115"/>
      <c r="C67" s="122" t="s">
        <v>200</v>
      </c>
      <c r="D67" s="137">
        <v>-91</v>
      </c>
      <c r="E67" s="119"/>
      <c r="F67" s="115"/>
      <c r="G67" s="122" t="s">
        <v>193</v>
      </c>
      <c r="H67" s="137">
        <v>-90</v>
      </c>
      <c r="I67" s="115"/>
      <c r="K67" s="129"/>
      <c r="L67" s="137"/>
      <c r="N67" s="147" t="s">
        <v>175</v>
      </c>
      <c r="O67" s="147"/>
    </row>
    <row r="68" spans="1:15" ht="13.5" thickBot="1">
      <c r="A68" s="115"/>
      <c r="B68" s="115"/>
      <c r="C68" s="122" t="s">
        <v>201</v>
      </c>
      <c r="D68" s="137">
        <v>-84</v>
      </c>
      <c r="E68" s="119"/>
      <c r="F68" s="115"/>
      <c r="G68" s="122" t="s">
        <v>194</v>
      </c>
      <c r="H68" s="137">
        <v>-83</v>
      </c>
      <c r="I68" s="115"/>
      <c r="K68" s="129"/>
      <c r="L68" s="129"/>
      <c r="N68" s="142" t="s">
        <v>84</v>
      </c>
      <c r="O68" s="143"/>
    </row>
    <row r="69" spans="1:15" ht="13.5" thickTop="1">
      <c r="A69" s="115"/>
      <c r="B69" s="115"/>
      <c r="C69" s="122" t="s">
        <v>205</v>
      </c>
      <c r="D69" s="137">
        <v>-87</v>
      </c>
      <c r="E69" s="119"/>
      <c r="F69" s="115"/>
      <c r="G69" s="122" t="s">
        <v>195</v>
      </c>
      <c r="H69" s="137">
        <v>-87</v>
      </c>
      <c r="I69" s="115"/>
      <c r="K69" s="129"/>
      <c r="L69" s="129"/>
      <c r="N69" s="76" t="str">
        <f aca="true" t="shared" si="6" ref="N69:O76">IF($L$16=1,C17,G17)</f>
        <v>User Selectable Gain</v>
      </c>
      <c r="O69" s="77">
        <f t="shared" si="6"/>
        <v>0</v>
      </c>
    </row>
    <row r="70" spans="1:15" ht="12.75">
      <c r="A70" s="115"/>
      <c r="B70" s="115"/>
      <c r="C70" s="122" t="s">
        <v>202</v>
      </c>
      <c r="D70" s="137">
        <v>-91</v>
      </c>
      <c r="E70" s="119"/>
      <c r="F70" s="115"/>
      <c r="G70" s="122" t="s">
        <v>196</v>
      </c>
      <c r="H70" s="137">
        <v>-90</v>
      </c>
      <c r="I70" s="115"/>
      <c r="K70" s="137"/>
      <c r="L70" s="137"/>
      <c r="N70" s="76" t="str">
        <f t="shared" si="6"/>
        <v>2' Dish - 30 dB</v>
      </c>
      <c r="O70" s="77">
        <f t="shared" si="6"/>
        <v>30</v>
      </c>
    </row>
    <row r="71" spans="1:15" ht="12.75">
      <c r="A71" s="115"/>
      <c r="B71" s="115"/>
      <c r="C71" s="144" t="s">
        <v>171</v>
      </c>
      <c r="D71" s="145">
        <v>-90</v>
      </c>
      <c r="E71" s="119"/>
      <c r="F71" s="115"/>
      <c r="G71" s="122" t="s">
        <v>179</v>
      </c>
      <c r="H71" s="137">
        <v>-85</v>
      </c>
      <c r="I71" s="115"/>
      <c r="K71" s="129"/>
      <c r="L71" s="129"/>
      <c r="N71" s="76" t="str">
        <f t="shared" si="6"/>
        <v>3' Dish - 33 dB</v>
      </c>
      <c r="O71" s="77">
        <f t="shared" si="6"/>
        <v>33</v>
      </c>
    </row>
    <row r="72" spans="1:15" ht="12.75">
      <c r="A72" s="115"/>
      <c r="B72" s="115"/>
      <c r="C72" s="122" t="s">
        <v>155</v>
      </c>
      <c r="D72" s="137">
        <v>-93</v>
      </c>
      <c r="E72" s="119"/>
      <c r="F72" s="115"/>
      <c r="G72" s="122" t="s">
        <v>180</v>
      </c>
      <c r="H72" s="137">
        <v>-89</v>
      </c>
      <c r="I72" s="115"/>
      <c r="K72" s="129"/>
      <c r="L72" s="137"/>
      <c r="N72" s="76" t="str">
        <f t="shared" si="6"/>
        <v>4' Dish - 35 dB</v>
      </c>
      <c r="O72" s="77">
        <f t="shared" si="6"/>
        <v>35</v>
      </c>
    </row>
    <row r="73" spans="1:15" ht="12.75">
      <c r="A73" s="115"/>
      <c r="B73" s="115"/>
      <c r="C73" s="138" t="s">
        <v>176</v>
      </c>
      <c r="D73" s="137">
        <v>-96</v>
      </c>
      <c r="E73" s="119"/>
      <c r="F73" s="115"/>
      <c r="G73" s="122" t="s">
        <v>181</v>
      </c>
      <c r="H73" s="137">
        <v>-92</v>
      </c>
      <c r="I73" s="115"/>
      <c r="K73" s="129"/>
      <c r="L73" s="137"/>
      <c r="N73" s="76" t="str">
        <f t="shared" si="6"/>
        <v>6' Dish - 39 dB</v>
      </c>
      <c r="O73" s="77">
        <f t="shared" si="6"/>
        <v>39</v>
      </c>
    </row>
    <row r="74" spans="1:15" ht="12.75">
      <c r="A74" s="115"/>
      <c r="B74" s="115"/>
      <c r="C74" s="122" t="s">
        <v>21</v>
      </c>
      <c r="D74" s="137">
        <v>-91</v>
      </c>
      <c r="G74" s="122" t="s">
        <v>182</v>
      </c>
      <c r="H74" s="137">
        <v>-83</v>
      </c>
      <c r="I74" s="115"/>
      <c r="K74" s="129"/>
      <c r="L74" s="137"/>
      <c r="N74" s="76" t="str">
        <f t="shared" si="6"/>
        <v>8' Dish - 41 dB</v>
      </c>
      <c r="O74" s="77">
        <f t="shared" si="6"/>
        <v>41</v>
      </c>
    </row>
    <row r="75" spans="1:15" ht="12.75">
      <c r="A75" s="115"/>
      <c r="B75" s="115"/>
      <c r="C75" s="122" t="s">
        <v>19</v>
      </c>
      <c r="D75" s="137">
        <v>-87</v>
      </c>
      <c r="G75" s="122" t="s">
        <v>183</v>
      </c>
      <c r="H75" s="137">
        <v>-87</v>
      </c>
      <c r="I75" s="115"/>
      <c r="K75" s="129"/>
      <c r="L75" s="129"/>
      <c r="N75" s="76" t="str">
        <f t="shared" si="6"/>
        <v>10' Dish - 43 dB</v>
      </c>
      <c r="O75" s="77">
        <f t="shared" si="6"/>
        <v>43</v>
      </c>
    </row>
    <row r="76" spans="1:15" ht="12.75">
      <c r="A76" s="115"/>
      <c r="B76" s="115"/>
      <c r="C76" s="125" t="s">
        <v>18</v>
      </c>
      <c r="D76" s="137">
        <v>-91</v>
      </c>
      <c r="G76" s="122" t="s">
        <v>184</v>
      </c>
      <c r="H76" s="137">
        <v>-90</v>
      </c>
      <c r="I76" s="115"/>
      <c r="N76" s="76" t="str">
        <f t="shared" si="6"/>
        <v>12' Dish - 45 dB</v>
      </c>
      <c r="O76" s="77">
        <f t="shared" si="6"/>
        <v>45</v>
      </c>
    </row>
    <row r="77" spans="1:15" ht="12.75">
      <c r="A77" s="115"/>
      <c r="B77" s="115"/>
      <c r="G77" s="122" t="s">
        <v>185</v>
      </c>
      <c r="H77" s="137">
        <v>-83</v>
      </c>
      <c r="I77" s="115"/>
      <c r="N77" s="81" t="str">
        <f>IF($L$16=1,"",G25)</f>
        <v>14' Dish - 46 dB</v>
      </c>
      <c r="O77" s="78">
        <f>IF($L$16=1,"",H25)</f>
        <v>46</v>
      </c>
    </row>
    <row r="78" spans="1:9" ht="12.75">
      <c r="A78" s="115"/>
      <c r="B78" s="115"/>
      <c r="G78" s="122" t="s">
        <v>186</v>
      </c>
      <c r="H78" s="137">
        <v>-87</v>
      </c>
      <c r="I78" s="115"/>
    </row>
    <row r="79" spans="1:9" ht="12.75">
      <c r="A79" s="115"/>
      <c r="B79" s="115"/>
      <c r="G79" s="122" t="s">
        <v>187</v>
      </c>
      <c r="H79" s="137">
        <v>-90</v>
      </c>
      <c r="I79" s="115"/>
    </row>
    <row r="80" spans="1:9" ht="12.75">
      <c r="A80" s="115"/>
      <c r="B80" s="115"/>
      <c r="G80" s="122" t="s">
        <v>172</v>
      </c>
      <c r="H80" s="129">
        <v>-85</v>
      </c>
      <c r="I80" s="115"/>
    </row>
    <row r="81" spans="1:15" ht="13.5" thickBot="1">
      <c r="A81" s="115"/>
      <c r="B81" s="115"/>
      <c r="G81" s="122" t="s">
        <v>154</v>
      </c>
      <c r="H81" s="139">
        <v>-90</v>
      </c>
      <c r="I81" s="115"/>
      <c r="N81" s="135" t="s">
        <v>85</v>
      </c>
      <c r="O81" s="136"/>
    </row>
    <row r="82" spans="1:15" ht="13.5" thickTop="1">
      <c r="A82" s="115"/>
      <c r="B82" s="115"/>
      <c r="C82" s="115"/>
      <c r="D82" s="115"/>
      <c r="G82" s="122" t="s">
        <v>173</v>
      </c>
      <c r="H82" s="137">
        <v>-93</v>
      </c>
      <c r="I82" s="115"/>
      <c r="N82" s="76" t="str">
        <f aca="true" t="shared" si="7" ref="N82:N92">IF($L$16=1,C42,G42)</f>
        <v>Use Selectable Loss (dB/100 ft)</v>
      </c>
      <c r="O82" s="77">
        <f aca="true" t="shared" si="8" ref="O82:O92">IF($L$16=1,D42,H42)</f>
        <v>0</v>
      </c>
    </row>
    <row r="83" spans="1:15" ht="12.75">
      <c r="A83" s="115"/>
      <c r="B83" s="115"/>
      <c r="C83" s="115"/>
      <c r="D83" s="115"/>
      <c r="G83" s="122" t="s">
        <v>152</v>
      </c>
      <c r="H83" s="129">
        <v>-78</v>
      </c>
      <c r="I83" s="115"/>
      <c r="N83" s="76" t="str">
        <f t="shared" si="7"/>
        <v>Andrew 3/8" SuperFlex FSJ2 (11.3 dB)</v>
      </c>
      <c r="O83" s="77">
        <f t="shared" si="8"/>
        <v>11.3</v>
      </c>
    </row>
    <row r="84" spans="1:15" ht="12.75">
      <c r="A84" s="115"/>
      <c r="B84" s="115"/>
      <c r="C84" s="115"/>
      <c r="D84" s="115"/>
      <c r="G84" s="122" t="s">
        <v>151</v>
      </c>
      <c r="H84" s="129">
        <v>-78</v>
      </c>
      <c r="I84" s="115"/>
      <c r="N84" s="76" t="str">
        <f t="shared" si="7"/>
        <v>Times Microwave LMR-400 (10.8 dB)</v>
      </c>
      <c r="O84" s="77">
        <f t="shared" si="8"/>
        <v>10.8</v>
      </c>
    </row>
    <row r="85" spans="1:15" ht="12.75">
      <c r="A85" s="115"/>
      <c r="B85" s="115"/>
      <c r="C85" s="115"/>
      <c r="D85" s="115"/>
      <c r="G85" s="138" t="s">
        <v>54</v>
      </c>
      <c r="H85" s="137">
        <v>-90</v>
      </c>
      <c r="I85" s="115"/>
      <c r="N85" s="76" t="str">
        <f t="shared" si="7"/>
        <v>Andrew 3/8" LDF2 (9.79 dB)</v>
      </c>
      <c r="O85" s="77">
        <f t="shared" si="8"/>
        <v>9.79</v>
      </c>
    </row>
    <row r="86" spans="1:15" ht="12.75">
      <c r="A86" s="115"/>
      <c r="B86" s="115"/>
      <c r="C86" s="115"/>
      <c r="D86" s="115"/>
      <c r="G86" s="122" t="s">
        <v>153</v>
      </c>
      <c r="H86" s="129">
        <v>-78</v>
      </c>
      <c r="I86" s="115"/>
      <c r="N86" s="76" t="str">
        <f t="shared" si="7"/>
        <v>Andrew 1/2" SuperFlex FSJ4 (10.5 dB)</v>
      </c>
      <c r="O86" s="77">
        <f t="shared" si="8"/>
        <v>10.5</v>
      </c>
    </row>
    <row r="87" spans="1:15" ht="12.75">
      <c r="A87" s="115"/>
      <c r="B87" s="115"/>
      <c r="C87" s="115"/>
      <c r="D87" s="115"/>
      <c r="G87" s="122" t="s">
        <v>23</v>
      </c>
      <c r="H87" s="137">
        <v>-89</v>
      </c>
      <c r="I87" s="115"/>
      <c r="N87" s="76" t="str">
        <f t="shared" si="7"/>
        <v>Times Microwave LMR-500 (8.90 dB)</v>
      </c>
      <c r="O87" s="77">
        <f t="shared" si="8"/>
        <v>8.9</v>
      </c>
    </row>
    <row r="88" spans="1:15" ht="12.75">
      <c r="A88" s="115"/>
      <c r="B88" s="115"/>
      <c r="C88" s="115"/>
      <c r="D88" s="115"/>
      <c r="G88" s="122" t="s">
        <v>20</v>
      </c>
      <c r="H88" s="137">
        <v>-85</v>
      </c>
      <c r="I88" s="115"/>
      <c r="N88" s="76" t="str">
        <f t="shared" si="7"/>
        <v>Times Microwave LMR-600 (7.30 dB)</v>
      </c>
      <c r="O88" s="77">
        <f t="shared" si="8"/>
        <v>7.3</v>
      </c>
    </row>
    <row r="89" spans="1:15" ht="12.75">
      <c r="A89" s="115"/>
      <c r="B89" s="115"/>
      <c r="E89" s="115"/>
      <c r="F89" s="115"/>
      <c r="G89" s="122" t="s">
        <v>22</v>
      </c>
      <c r="H89" s="137">
        <v>-89</v>
      </c>
      <c r="I89" s="115"/>
      <c r="N89" s="76" t="str">
        <f t="shared" si="7"/>
        <v>Andrew 1/2" LDF4 (6.11 dB)</v>
      </c>
      <c r="O89" s="77">
        <f t="shared" si="8"/>
        <v>6.11</v>
      </c>
    </row>
    <row r="90" spans="1:15" ht="12.75">
      <c r="A90" s="115"/>
      <c r="B90" s="115"/>
      <c r="E90" s="115"/>
      <c r="F90" s="115"/>
      <c r="G90" s="125" t="s">
        <v>149</v>
      </c>
      <c r="H90" s="129">
        <v>-86</v>
      </c>
      <c r="I90" s="115"/>
      <c r="N90" s="76" t="str">
        <f t="shared" si="7"/>
        <v>Times Microwave LMR-900 (4.90 dB)</v>
      </c>
      <c r="O90" s="77">
        <f t="shared" si="8"/>
        <v>4.9</v>
      </c>
    </row>
    <row r="91" spans="1:15" ht="12.75">
      <c r="A91" s="115"/>
      <c r="B91" s="115"/>
      <c r="E91" s="115"/>
      <c r="F91" s="115"/>
      <c r="I91" s="115"/>
      <c r="N91" s="76" t="str">
        <f t="shared" si="7"/>
        <v>Andrew 5/8" LDF4.5 (4.76 dB)</v>
      </c>
      <c r="O91" s="77">
        <f t="shared" si="8"/>
        <v>4.76</v>
      </c>
    </row>
    <row r="92" spans="1:15" ht="12.75">
      <c r="A92" s="115"/>
      <c r="B92" s="115"/>
      <c r="E92" s="115"/>
      <c r="F92" s="115"/>
      <c r="I92" s="115"/>
      <c r="N92" s="76" t="str">
        <f t="shared" si="7"/>
        <v>Andrew EW52 Waveguide (1.23 dB)</v>
      </c>
      <c r="O92" s="77">
        <f t="shared" si="8"/>
        <v>1.23</v>
      </c>
    </row>
    <row r="93" spans="1:15" ht="12.75">
      <c r="A93" s="115"/>
      <c r="B93" s="115"/>
      <c r="E93" s="115"/>
      <c r="F93" s="115"/>
      <c r="I93" s="115"/>
      <c r="N93" s="76">
        <f aca="true" t="shared" si="9" ref="N93:O97">IF($L$16=1,C53,"")</f>
      </c>
      <c r="O93" s="77">
        <f t="shared" si="9"/>
      </c>
    </row>
    <row r="94" spans="1:15" ht="12.75">
      <c r="A94" s="115"/>
      <c r="B94" s="115"/>
      <c r="E94" s="115"/>
      <c r="F94" s="115"/>
      <c r="I94" s="115"/>
      <c r="N94" s="76">
        <f t="shared" si="9"/>
      </c>
      <c r="O94" s="77">
        <f t="shared" si="9"/>
      </c>
    </row>
    <row r="95" spans="1:15" ht="12.75">
      <c r="A95" s="115"/>
      <c r="B95" s="115"/>
      <c r="E95" s="115"/>
      <c r="F95" s="115"/>
      <c r="I95" s="115"/>
      <c r="N95" s="76">
        <f t="shared" si="9"/>
      </c>
      <c r="O95" s="77">
        <f t="shared" si="9"/>
      </c>
    </row>
    <row r="96" spans="1:15" ht="12.75">
      <c r="A96" s="115"/>
      <c r="B96" s="115"/>
      <c r="E96" s="115"/>
      <c r="F96" s="115"/>
      <c r="I96" s="115"/>
      <c r="N96" s="76">
        <f t="shared" si="9"/>
      </c>
      <c r="O96" s="77">
        <f t="shared" si="9"/>
      </c>
    </row>
    <row r="97" spans="1:15" ht="12.75">
      <c r="A97" s="115"/>
      <c r="B97" s="115"/>
      <c r="E97" s="115"/>
      <c r="F97" s="115"/>
      <c r="I97" s="115"/>
      <c r="N97" s="79">
        <f t="shared" si="9"/>
      </c>
      <c r="O97" s="78">
        <f t="shared" si="9"/>
      </c>
    </row>
    <row r="98" spans="1:9" ht="12.75">
      <c r="A98" s="115"/>
      <c r="B98" s="115"/>
      <c r="E98" s="115"/>
      <c r="F98" s="115"/>
      <c r="G98"/>
      <c r="H98"/>
      <c r="I98" s="115"/>
    </row>
    <row r="99" spans="1:9" ht="12.75">
      <c r="A99" s="115"/>
      <c r="B99" s="115"/>
      <c r="E99" s="115"/>
      <c r="F99" s="115"/>
      <c r="I99" s="115"/>
    </row>
    <row r="100" spans="1:9" ht="12.75">
      <c r="A100" s="115"/>
      <c r="B100" s="115"/>
      <c r="E100" s="115"/>
      <c r="F100" s="115"/>
      <c r="G100" s="115"/>
      <c r="H100" s="115"/>
      <c r="I100" s="115"/>
    </row>
    <row r="101" spans="1:9" ht="12.75">
      <c r="A101" s="115"/>
      <c r="B101" s="115"/>
      <c r="E101" s="115"/>
      <c r="F101" s="115"/>
      <c r="G101" s="115"/>
      <c r="H101" s="115"/>
      <c r="I101" s="115"/>
    </row>
    <row r="102" spans="1:8" ht="12.75">
      <c r="A102" s="115"/>
      <c r="B102" s="115"/>
      <c r="H102" s="115"/>
    </row>
    <row r="103" spans="1:8" ht="12.75">
      <c r="A103" s="115"/>
      <c r="B103" s="115"/>
      <c r="H103" s="115"/>
    </row>
    <row r="104" spans="1:8" ht="12.75">
      <c r="A104" s="115"/>
      <c r="B104" s="115"/>
      <c r="C104" s="129"/>
      <c r="D104" s="115"/>
      <c r="H104" s="115"/>
    </row>
    <row r="105" spans="1:8" ht="12.75">
      <c r="A105" s="115"/>
      <c r="B105" s="115"/>
      <c r="C105" s="129"/>
      <c r="D105" s="115"/>
      <c r="H105" s="115"/>
    </row>
    <row r="106" spans="3:8" ht="12.75">
      <c r="C106" s="129"/>
      <c r="D106" s="115"/>
      <c r="H106" s="115"/>
    </row>
    <row r="107" spans="3:8" ht="12.75">
      <c r="C107" s="129"/>
      <c r="D107" s="115"/>
      <c r="H107" s="115"/>
    </row>
    <row r="108" spans="3:8" ht="12.75">
      <c r="C108" s="129"/>
      <c r="D108" s="115"/>
      <c r="H108" s="115"/>
    </row>
    <row r="109" spans="3:8" ht="12.75">
      <c r="C109" s="129"/>
      <c r="D109" s="115"/>
      <c r="H109" s="115"/>
    </row>
    <row r="110" spans="3:8" ht="12.75">
      <c r="C110" s="129"/>
      <c r="D110" s="115"/>
      <c r="H110" s="115"/>
    </row>
    <row r="111" spans="3:8" ht="12.75">
      <c r="C111" s="129"/>
      <c r="D111" s="115"/>
      <c r="H111" s="115"/>
    </row>
    <row r="112" spans="3:8" ht="12.75">
      <c r="C112" s="129"/>
      <c r="D112" s="115"/>
      <c r="H112" s="115"/>
    </row>
    <row r="113" spans="3:8" ht="12.75">
      <c r="C113" s="115"/>
      <c r="D113" s="115"/>
      <c r="H113" s="115"/>
    </row>
    <row r="114" spans="4:8" ht="12.75">
      <c r="D114" s="115"/>
      <c r="H114" s="115"/>
    </row>
    <row r="115" spans="3:8" ht="12.75">
      <c r="C115" s="115"/>
      <c r="D115" s="115"/>
      <c r="H115" s="115"/>
    </row>
    <row r="116" spans="3:8" ht="12.75">
      <c r="C116" s="115"/>
      <c r="D116" s="115"/>
      <c r="H116" s="115"/>
    </row>
    <row r="117" spans="7:8" ht="12.75">
      <c r="G117" s="129"/>
      <c r="H117" s="115"/>
    </row>
    <row r="118" spans="7:8" ht="12.75">
      <c r="G118" s="129"/>
      <c r="H118" s="115"/>
    </row>
    <row r="119" spans="7:8" ht="12.75">
      <c r="G119" s="129"/>
      <c r="H119" s="115"/>
    </row>
    <row r="120" spans="7:8" ht="12.75">
      <c r="G120" s="129"/>
      <c r="H120" s="115"/>
    </row>
    <row r="121" spans="7:8" ht="12.75">
      <c r="G121" s="129"/>
      <c r="H121" s="115"/>
    </row>
    <row r="122" spans="7:8" ht="12.75">
      <c r="G122" s="129"/>
      <c r="H122" s="115"/>
    </row>
    <row r="123" spans="7:8" ht="12.75">
      <c r="G123" s="129"/>
      <c r="H123" s="115"/>
    </row>
    <row r="124" spans="7:8" ht="12.75">
      <c r="G124" s="129"/>
      <c r="H124" s="115"/>
    </row>
    <row r="125" spans="7:8" ht="12.75">
      <c r="G125" s="129"/>
      <c r="H125" s="115"/>
    </row>
    <row r="126" spans="7:8" ht="12.75">
      <c r="G126" s="115"/>
      <c r="H126" s="115"/>
    </row>
    <row r="127" spans="7:8" ht="12.75">
      <c r="G127" s="115"/>
      <c r="H127" s="115"/>
    </row>
    <row r="128" spans="7:8" ht="12.75">
      <c r="G128" s="115"/>
      <c r="H128" s="115"/>
    </row>
    <row r="129" spans="7:8" ht="12.75">
      <c r="G129" s="115"/>
      <c r="H129" s="115"/>
    </row>
  </sheetData>
  <sheetProtection password="9BB1" sheet="1" objects="1" scenarios="1" selectLockedCells="1" selectUnlockedCells="1"/>
  <printOptions gridLines="1"/>
  <pageMargins left="0.75" right="0.75" top="1" bottom="1" header="0.511811023" footer="0.511811023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C1">
      <selection activeCell="A1" sqref="A1"/>
      <selection activeCell="A1" sqref="A1"/>
    </sheetView>
  </sheetViews>
  <sheetFormatPr defaultColWidth="9.140625" defaultRowHeight="12.75"/>
  <cols>
    <col min="1" max="1" width="0" style="0" hidden="1" customWidth="1"/>
    <col min="2" max="2" width="55.00390625" style="0" hidden="1" customWidth="1"/>
  </cols>
  <sheetData>
    <row r="1" spans="1:2" ht="12.75">
      <c r="A1" t="s">
        <v>56</v>
      </c>
      <c r="B1" s="4" t="s">
        <v>57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aausbon</cp:lastModifiedBy>
  <cp:lastPrinted>2006-02-15T14:22:16Z</cp:lastPrinted>
  <dcterms:created xsi:type="dcterms:W3CDTF">2002-08-14T18:28:08Z</dcterms:created>
  <dcterms:modified xsi:type="dcterms:W3CDTF">2007-06-19T19:02:32Z</dcterms:modified>
  <cp:category/>
  <cp:version/>
  <cp:contentType/>
  <cp:contentStatus/>
</cp:coreProperties>
</file>