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209040\Downloads\"/>
    </mc:Choice>
  </mc:AlternateContent>
  <xr:revisionPtr revIDLastSave="0" documentId="13_ncr:1_{F9725D6E-FC07-4F0F-9D14-2EDBCB923FC7}" xr6:coauthVersionLast="45" xr6:coauthVersionMax="45" xr10:uidLastSave="{00000000-0000-0000-0000-000000000000}"/>
  <bookViews>
    <workbookView xWindow="-108" yWindow="-108" windowWidth="23256" windowHeight="12576" xr2:uid="{00000000-000D-0000-FFFF-FFFF00000000}"/>
  </bookViews>
  <sheets>
    <sheet name="Readme" sheetId="8" r:id="rId1"/>
    <sheet name="Enter data" sheetId="5" r:id="rId2"/>
    <sheet name="Calcs" sheetId="11" r:id="rId3"/>
    <sheet name="Loss versus temperature" sheetId="20" r:id="rId4"/>
    <sheet name="Surface roughness factor" sheetId="21" r:id="rId5"/>
    <sheet name="Area" sheetId="12" r:id="rId6"/>
    <sheet name="Area (2)" sheetId="14" r:id="rId7"/>
    <sheet name="Res_per_Meter" sheetId="7" r:id="rId8"/>
    <sheet name="R_per_Meter (2)" sheetId="13" r:id="rId9"/>
    <sheet name="dB_per_meter" sheetId="19" r:id="rId10"/>
    <sheet name="dB_per_meter (2)" sheetId="16" r:id="rId11"/>
    <sheet name="dB_per_foot" sheetId="9" r:id="rId12"/>
    <sheet name="dB_per_foot (2)" sheetId="18"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5" l="1"/>
  <c r="AK159" i="11" l="1"/>
  <c r="J63" i="5" l="1"/>
  <c r="AK6" i="11" l="1"/>
  <c r="AK8" i="11" s="1"/>
  <c r="F102" i="5"/>
  <c r="E102" i="5" s="1"/>
  <c r="D102" i="5" s="1"/>
  <c r="F101" i="5"/>
  <c r="E101" i="5" s="1"/>
  <c r="D101" i="5" s="1"/>
  <c r="E121" i="5"/>
  <c r="D121" i="5" s="1"/>
  <c r="G121" i="5"/>
  <c r="I68" i="5"/>
  <c r="I69" i="5"/>
  <c r="I70" i="5"/>
  <c r="AU6" i="11"/>
  <c r="AU8" i="11" s="1"/>
  <c r="AP6" i="11"/>
  <c r="AP8" i="11" s="1"/>
  <c r="D10" i="5"/>
  <c r="AM3" i="11" s="1"/>
  <c r="C10" i="5"/>
  <c r="AM2" i="11" s="1"/>
  <c r="E62" i="5" l="1"/>
  <c r="K62" i="5" l="1"/>
  <c r="J62" i="5"/>
  <c r="E15" i="5"/>
  <c r="C54" i="5" s="1"/>
  <c r="C14" i="5"/>
  <c r="H5" i="11" s="1"/>
  <c r="C32" i="5"/>
  <c r="D14" i="5"/>
  <c r="H6" i="11" s="1"/>
  <c r="D26" i="5"/>
  <c r="C38" i="5" s="1"/>
  <c r="C2" i="11" s="1"/>
  <c r="D32" i="5"/>
  <c r="C26" i="5"/>
  <c r="C39" i="5" s="1"/>
  <c r="C3" i="11" s="1"/>
  <c r="C30" i="5"/>
  <c r="D161" i="11"/>
  <c r="K161" i="11" s="1"/>
  <c r="E31" i="5"/>
  <c r="E106" i="5"/>
  <c r="F106" i="5" s="1"/>
  <c r="G106" i="5" s="1"/>
  <c r="E120" i="5"/>
  <c r="F120" i="5" s="1"/>
  <c r="G120" i="5" s="1"/>
  <c r="E105" i="5"/>
  <c r="F105" i="5" s="1"/>
  <c r="C11" i="5" s="1"/>
  <c r="E11" i="5"/>
  <c r="E13" i="5" s="1"/>
  <c r="C45" i="5"/>
  <c r="E51" i="5" s="1"/>
  <c r="C51" i="5" s="1"/>
  <c r="E100" i="5"/>
  <c r="F100" i="5"/>
  <c r="G100" i="5" s="1"/>
  <c r="C28" i="5"/>
  <c r="D27" i="5"/>
  <c r="E14" i="11"/>
  <c r="E13" i="11"/>
  <c r="C87" i="5"/>
  <c r="K14" i="11"/>
  <c r="C84" i="5"/>
  <c r="E25" i="5"/>
  <c r="D29" i="5"/>
  <c r="E97" i="5"/>
  <c r="F97" i="5" s="1"/>
  <c r="G97" i="5" s="1"/>
  <c r="E98" i="5"/>
  <c r="F98" i="5"/>
  <c r="G98" i="5" s="1"/>
  <c r="E99" i="5"/>
  <c r="F99" i="5" s="1"/>
  <c r="G99" i="5" s="1"/>
  <c r="E103" i="5"/>
  <c r="F103" i="5" s="1"/>
  <c r="G103" i="5" s="1"/>
  <c r="E104" i="5"/>
  <c r="F104" i="5" s="1"/>
  <c r="G104" i="5" s="1"/>
  <c r="E107" i="5"/>
  <c r="F107" i="5" s="1"/>
  <c r="G107" i="5" s="1"/>
  <c r="E108" i="5"/>
  <c r="F108" i="5"/>
  <c r="G108" i="5" s="1"/>
  <c r="E109" i="5"/>
  <c r="F109" i="5" s="1"/>
  <c r="G109" i="5" s="1"/>
  <c r="E110" i="5"/>
  <c r="F110" i="5"/>
  <c r="G110" i="5" s="1"/>
  <c r="E111" i="5"/>
  <c r="F111" i="5" s="1"/>
  <c r="G111" i="5" s="1"/>
  <c r="E112" i="5"/>
  <c r="F112" i="5"/>
  <c r="G112" i="5" s="1"/>
  <c r="E113" i="5"/>
  <c r="F113" i="5"/>
  <c r="G113" i="5" s="1"/>
  <c r="E114" i="5"/>
  <c r="F114" i="5" s="1"/>
  <c r="G114" i="5" s="1"/>
  <c r="E115" i="5"/>
  <c r="F115" i="5" s="1"/>
  <c r="G115" i="5" s="1"/>
  <c r="E116" i="5"/>
  <c r="F116" i="5" s="1"/>
  <c r="G116" i="5" s="1"/>
  <c r="E117" i="5"/>
  <c r="F117" i="5" s="1"/>
  <c r="G117" i="5" s="1"/>
  <c r="E118" i="5"/>
  <c r="F118" i="5"/>
  <c r="G118" i="5" s="1"/>
  <c r="E119" i="5"/>
  <c r="F119" i="5"/>
  <c r="G119" i="5" s="1"/>
  <c r="E122" i="5"/>
  <c r="F122" i="5" s="1"/>
  <c r="G122" i="5" s="1"/>
  <c r="E123" i="5"/>
  <c r="F123" i="5"/>
  <c r="G123" i="5" s="1"/>
  <c r="E124" i="5"/>
  <c r="F124" i="5" s="1"/>
  <c r="G124" i="5" s="1"/>
  <c r="E125" i="5"/>
  <c r="F125" i="5"/>
  <c r="G125" i="5"/>
  <c r="E126" i="5"/>
  <c r="F126" i="5" s="1"/>
  <c r="G126" i="5" s="1"/>
  <c r="E127" i="5"/>
  <c r="F127" i="5" s="1"/>
  <c r="G127" i="5" s="1"/>
  <c r="E128" i="5"/>
  <c r="F128" i="5"/>
  <c r="G128" i="5" s="1"/>
  <c r="C5" i="11"/>
  <c r="AD13" i="11" l="1"/>
  <c r="G105" i="5"/>
  <c r="D11" i="5"/>
  <c r="E12" i="5"/>
  <c r="C9" i="5"/>
  <c r="C12" i="5"/>
  <c r="C13" i="5"/>
  <c r="E9" i="5"/>
  <c r="C69" i="5"/>
  <c r="E54" i="5"/>
  <c r="C55" i="5"/>
  <c r="C76" i="5" s="1"/>
  <c r="C77" i="5" s="1"/>
  <c r="D15" i="11" s="1"/>
  <c r="AA15" i="11" s="1"/>
  <c r="AB15" i="11" s="1"/>
  <c r="E161" i="11"/>
  <c r="AA161" i="11"/>
  <c r="AB161" i="11" s="1"/>
  <c r="C35" i="5"/>
  <c r="I13" i="11" s="1"/>
  <c r="O13" i="11" s="1"/>
  <c r="G14" i="11"/>
  <c r="M14" i="11" s="1"/>
  <c r="G161" i="11"/>
  <c r="M161" i="11" s="1"/>
  <c r="AA14" i="11"/>
  <c r="AB14" i="11" s="1"/>
  <c r="D35" i="5"/>
  <c r="J13" i="11" s="1"/>
  <c r="C40" i="5"/>
  <c r="C4" i="11" s="1"/>
  <c r="C46" i="5"/>
  <c r="Z14" i="11"/>
  <c r="Z161" i="11"/>
  <c r="E50" i="5"/>
  <c r="C50" i="5" s="1"/>
  <c r="C52" i="5" s="1"/>
  <c r="E52" i="5" s="1"/>
  <c r="C47" i="5"/>
  <c r="AD60" i="11"/>
  <c r="AD133" i="11"/>
  <c r="AD141" i="11"/>
  <c r="AD20" i="11"/>
  <c r="AD53" i="11"/>
  <c r="AD52" i="11"/>
  <c r="AD101" i="11"/>
  <c r="AD148" i="11"/>
  <c r="AD28" i="11"/>
  <c r="AD85" i="11"/>
  <c r="AD140" i="11"/>
  <c r="AD77" i="11"/>
  <c r="AD157" i="11"/>
  <c r="AD108" i="11"/>
  <c r="AD44" i="11"/>
  <c r="AD132" i="11"/>
  <c r="AD68" i="11"/>
  <c r="AD149" i="11"/>
  <c r="AD93" i="11"/>
  <c r="AD30" i="11"/>
  <c r="AD46" i="11"/>
  <c r="AD62" i="11"/>
  <c r="AD78" i="11"/>
  <c r="AD94" i="11"/>
  <c r="AD110" i="11"/>
  <c r="AD126" i="11"/>
  <c r="AD142" i="11"/>
  <c r="AD97" i="11"/>
  <c r="AD137" i="11"/>
  <c r="AD26" i="11"/>
  <c r="AD58" i="11"/>
  <c r="AD98" i="11"/>
  <c r="AD138" i="11"/>
  <c r="AD75" i="11"/>
  <c r="AD107" i="11"/>
  <c r="AD23" i="11"/>
  <c r="AD39" i="11"/>
  <c r="AD55" i="11"/>
  <c r="AD71" i="11"/>
  <c r="AD87" i="11"/>
  <c r="AD103" i="11"/>
  <c r="AD119" i="11"/>
  <c r="AD135" i="11"/>
  <c r="AD151" i="11"/>
  <c r="AD32" i="11"/>
  <c r="AD48" i="11"/>
  <c r="AD64" i="11"/>
  <c r="AD80" i="11"/>
  <c r="AD96" i="11"/>
  <c r="AD112" i="11"/>
  <c r="AD128" i="11"/>
  <c r="AD144" i="11"/>
  <c r="AD25" i="11"/>
  <c r="AD41" i="11"/>
  <c r="AD57" i="11"/>
  <c r="AD81" i="11"/>
  <c r="AD105" i="11"/>
  <c r="AD129" i="11"/>
  <c r="AD34" i="11"/>
  <c r="AD66" i="11"/>
  <c r="AD90" i="11"/>
  <c r="AD114" i="11"/>
  <c r="AD146" i="11"/>
  <c r="AD27" i="11"/>
  <c r="AD51" i="11"/>
  <c r="AD67" i="11"/>
  <c r="AD99" i="11"/>
  <c r="AD123" i="11"/>
  <c r="AD19" i="11"/>
  <c r="AD17" i="11"/>
  <c r="AD15" i="11"/>
  <c r="AD161" i="11"/>
  <c r="AD21" i="11"/>
  <c r="AD69" i="11"/>
  <c r="AD124" i="11"/>
  <c r="AD84" i="11"/>
  <c r="AD117" i="11"/>
  <c r="AD116" i="11"/>
  <c r="AD156" i="11"/>
  <c r="AD37" i="11"/>
  <c r="AD92" i="11"/>
  <c r="AD147" i="11"/>
  <c r="AD29" i="11"/>
  <c r="AD109" i="11"/>
  <c r="AD45" i="11"/>
  <c r="AD139" i="11"/>
  <c r="AD76" i="11"/>
  <c r="AD155" i="11"/>
  <c r="AD100" i="11"/>
  <c r="AD36" i="11"/>
  <c r="AD125" i="11"/>
  <c r="AD61" i="11"/>
  <c r="AD22" i="11"/>
  <c r="AD38" i="11"/>
  <c r="AD54" i="11"/>
  <c r="AD70" i="11"/>
  <c r="AD86" i="11"/>
  <c r="AD102" i="11"/>
  <c r="AD118" i="11"/>
  <c r="AD134" i="11"/>
  <c r="AD150" i="11"/>
  <c r="AD65" i="11"/>
  <c r="AD121" i="11"/>
  <c r="AD153" i="11"/>
  <c r="AD42" i="11"/>
  <c r="AD74" i="11"/>
  <c r="AD122" i="11"/>
  <c r="AD43" i="11"/>
  <c r="AD91" i="11"/>
  <c r="AD131" i="11"/>
  <c r="AD31" i="11"/>
  <c r="AD47" i="11"/>
  <c r="AD63" i="11"/>
  <c r="AD79" i="11"/>
  <c r="AD95" i="11"/>
  <c r="AD111" i="11"/>
  <c r="AD127" i="11"/>
  <c r="AD143" i="11"/>
  <c r="AD24" i="11"/>
  <c r="AD40" i="11"/>
  <c r="AD56" i="11"/>
  <c r="AD72" i="11"/>
  <c r="AD88" i="11"/>
  <c r="AD104" i="11"/>
  <c r="AD120" i="11"/>
  <c r="AD136" i="11"/>
  <c r="AD152" i="11"/>
  <c r="AD33" i="11"/>
  <c r="AD49" i="11"/>
  <c r="AD73" i="11"/>
  <c r="AD89" i="11"/>
  <c r="AD113" i="11"/>
  <c r="AD145" i="11"/>
  <c r="AD50" i="11"/>
  <c r="AD82" i="11"/>
  <c r="AD106" i="11"/>
  <c r="AD130" i="11"/>
  <c r="AD154" i="11"/>
  <c r="AD35" i="11"/>
  <c r="AD59" i="11"/>
  <c r="AD83" i="11"/>
  <c r="AD115" i="11"/>
  <c r="AD14" i="11"/>
  <c r="AD18" i="11"/>
  <c r="AD16" i="11"/>
  <c r="J64" i="5" l="1"/>
  <c r="AE55" i="11"/>
  <c r="AF55" i="11" s="1"/>
  <c r="AE13" i="11"/>
  <c r="AF13" i="11" s="1"/>
  <c r="Q13" i="11"/>
  <c r="Z15" i="11"/>
  <c r="C66" i="5"/>
  <c r="E66" i="5" s="1"/>
  <c r="G66" i="5" s="1"/>
  <c r="AE154" i="11"/>
  <c r="AF154" i="11" s="1"/>
  <c r="AE36" i="11"/>
  <c r="AF36" i="11" s="1"/>
  <c r="AE116" i="11"/>
  <c r="AF116" i="11" s="1"/>
  <c r="AE41" i="11"/>
  <c r="AF41" i="11" s="1"/>
  <c r="AE119" i="11"/>
  <c r="AF119" i="11" s="1"/>
  <c r="AE26" i="11"/>
  <c r="AF26" i="11" s="1"/>
  <c r="AE93" i="11"/>
  <c r="AF93" i="11" s="1"/>
  <c r="AE101" i="11"/>
  <c r="AF101" i="11" s="1"/>
  <c r="AE136" i="11"/>
  <c r="AF136" i="11" s="1"/>
  <c r="AE67" i="11"/>
  <c r="AF67" i="11" s="1"/>
  <c r="AE65" i="11"/>
  <c r="AF65" i="11" s="1"/>
  <c r="AE104" i="11"/>
  <c r="AF104" i="11" s="1"/>
  <c r="AE47" i="11"/>
  <c r="AF47" i="11" s="1"/>
  <c r="AE134" i="11"/>
  <c r="AF134" i="11" s="1"/>
  <c r="AE155" i="11"/>
  <c r="AF155" i="11" s="1"/>
  <c r="AE84" i="11"/>
  <c r="AF84" i="11" s="1"/>
  <c r="AE27" i="11"/>
  <c r="AF27" i="11" s="1"/>
  <c r="AE144" i="11"/>
  <c r="AF144" i="11" s="1"/>
  <c r="AE87" i="11"/>
  <c r="AF87" i="11" s="1"/>
  <c r="AE97" i="11"/>
  <c r="AF97" i="11" s="1"/>
  <c r="AE68" i="11"/>
  <c r="AF68" i="11" s="1"/>
  <c r="AE53" i="11"/>
  <c r="AF53" i="11" s="1"/>
  <c r="C70" i="5"/>
  <c r="E69" i="5"/>
  <c r="G69" i="5" s="1"/>
  <c r="AE79" i="11"/>
  <c r="AF79" i="11" s="1"/>
  <c r="AE106" i="11"/>
  <c r="AF106" i="11" s="1"/>
  <c r="K15" i="11"/>
  <c r="AE142" i="11"/>
  <c r="AF142" i="11" s="1"/>
  <c r="AE44" i="11"/>
  <c r="AF44" i="11" s="1"/>
  <c r="AE141" i="11"/>
  <c r="AF141" i="11" s="1"/>
  <c r="G15" i="11"/>
  <c r="M15" i="11" s="1"/>
  <c r="AE114" i="11"/>
  <c r="AF114" i="11" s="1"/>
  <c r="AE50" i="11"/>
  <c r="AF50" i="11" s="1"/>
  <c r="AE139" i="11"/>
  <c r="AF139" i="11" s="1"/>
  <c r="AE18" i="11"/>
  <c r="AF18" i="11" s="1"/>
  <c r="AE113" i="11"/>
  <c r="AF113" i="11" s="1"/>
  <c r="AE40" i="11"/>
  <c r="AF40" i="11" s="1"/>
  <c r="AE43" i="11"/>
  <c r="AF43" i="11" s="1"/>
  <c r="AE70" i="11"/>
  <c r="AF70" i="11" s="1"/>
  <c r="AE109" i="11"/>
  <c r="AF109" i="11" s="1"/>
  <c r="AE161" i="11"/>
  <c r="C67" i="5" s="1"/>
  <c r="AE66" i="11"/>
  <c r="AF66" i="11" s="1"/>
  <c r="AE80" i="11"/>
  <c r="AF80" i="11" s="1"/>
  <c r="AE23" i="11"/>
  <c r="AF23" i="11" s="1"/>
  <c r="AE110" i="11"/>
  <c r="AF110" i="11" s="1"/>
  <c r="AE157" i="11"/>
  <c r="AF157" i="11" s="1"/>
  <c r="AE60" i="11"/>
  <c r="AF60" i="11" s="1"/>
  <c r="D16" i="11"/>
  <c r="E16" i="11" s="1"/>
  <c r="AE102" i="11"/>
  <c r="AF102" i="11" s="1"/>
  <c r="AE112" i="11"/>
  <c r="AF112" i="11" s="1"/>
  <c r="E15" i="11"/>
  <c r="AE131" i="11"/>
  <c r="AF131" i="11" s="1"/>
  <c r="AE115" i="11"/>
  <c r="AF115" i="11" s="1"/>
  <c r="AE143" i="11"/>
  <c r="AF143" i="11" s="1"/>
  <c r="AE74" i="11"/>
  <c r="AF74" i="11" s="1"/>
  <c r="AE38" i="11"/>
  <c r="AF38" i="11" s="1"/>
  <c r="AE147" i="11"/>
  <c r="AF147" i="11" s="1"/>
  <c r="AE17" i="11"/>
  <c r="AF17" i="11" s="1"/>
  <c r="AE129" i="11"/>
  <c r="AF129" i="11" s="1"/>
  <c r="AE48" i="11"/>
  <c r="AF48" i="11" s="1"/>
  <c r="AE75" i="11"/>
  <c r="AF75" i="11" s="1"/>
  <c r="AE78" i="11"/>
  <c r="AF78" i="11" s="1"/>
  <c r="AE140" i="11"/>
  <c r="AF140" i="11" s="1"/>
  <c r="D12" i="5"/>
  <c r="C6" i="11"/>
  <c r="P13" i="11" s="1"/>
  <c r="D9" i="5"/>
  <c r="D13" i="5"/>
  <c r="AE72" i="11"/>
  <c r="AF72" i="11" s="1"/>
  <c r="AE73" i="11"/>
  <c r="AF73" i="11" s="1"/>
  <c r="AE69" i="11"/>
  <c r="AF69" i="11" s="1"/>
  <c r="AE59" i="11"/>
  <c r="AF59" i="11" s="1"/>
  <c r="AE33" i="11"/>
  <c r="AF33" i="11" s="1"/>
  <c r="AE111" i="11"/>
  <c r="AF111" i="11" s="1"/>
  <c r="AE153" i="11"/>
  <c r="AF153" i="11" s="1"/>
  <c r="AE61" i="11"/>
  <c r="AF61" i="11" s="1"/>
  <c r="AE37" i="11"/>
  <c r="AF37" i="11" s="1"/>
  <c r="AE123" i="11"/>
  <c r="AF123" i="11" s="1"/>
  <c r="AE81" i="11"/>
  <c r="AF81" i="11" s="1"/>
  <c r="AE151" i="11"/>
  <c r="AF151" i="11" s="1"/>
  <c r="AE98" i="11"/>
  <c r="AF98" i="11" s="1"/>
  <c r="AE46" i="11"/>
  <c r="AF46" i="11" s="1"/>
  <c r="AE28" i="11"/>
  <c r="AF28" i="11" s="1"/>
  <c r="G62" i="5"/>
  <c r="D36" i="5"/>
  <c r="C36" i="5"/>
  <c r="AE16" i="11"/>
  <c r="AF16" i="11" s="1"/>
  <c r="AE14" i="11"/>
  <c r="AF14" i="11" s="1"/>
  <c r="AE83" i="11"/>
  <c r="AF83" i="11" s="1"/>
  <c r="AE35" i="11"/>
  <c r="AF35" i="11" s="1"/>
  <c r="AE130" i="11"/>
  <c r="AF130" i="11" s="1"/>
  <c r="AE82" i="11"/>
  <c r="AF82" i="11" s="1"/>
  <c r="AE145" i="11"/>
  <c r="AF145" i="11" s="1"/>
  <c r="AE89" i="11"/>
  <c r="AF89" i="11" s="1"/>
  <c r="AE49" i="11"/>
  <c r="AF49" i="11" s="1"/>
  <c r="AE152" i="11"/>
  <c r="AF152" i="11" s="1"/>
  <c r="AE120" i="11"/>
  <c r="AF120" i="11" s="1"/>
  <c r="AE88" i="11"/>
  <c r="AF88" i="11" s="1"/>
  <c r="AE56" i="11"/>
  <c r="AF56" i="11" s="1"/>
  <c r="AE24" i="11"/>
  <c r="AF24" i="11" s="1"/>
  <c r="AE127" i="11"/>
  <c r="AF127" i="11" s="1"/>
  <c r="AE95" i="11"/>
  <c r="AF95" i="11" s="1"/>
  <c r="AE63" i="11"/>
  <c r="AF63" i="11" s="1"/>
  <c r="AE31" i="11"/>
  <c r="AF31" i="11" s="1"/>
  <c r="AE91" i="11"/>
  <c r="AF91" i="11" s="1"/>
  <c r="AE122" i="11"/>
  <c r="AF122" i="11" s="1"/>
  <c r="AE42" i="11"/>
  <c r="AF42" i="11" s="1"/>
  <c r="AE121" i="11"/>
  <c r="AF121" i="11" s="1"/>
  <c r="AE150" i="11"/>
  <c r="AF150" i="11" s="1"/>
  <c r="AE118" i="11"/>
  <c r="AF118" i="11" s="1"/>
  <c r="AE86" i="11"/>
  <c r="AF86" i="11" s="1"/>
  <c r="AE54" i="11"/>
  <c r="AF54" i="11" s="1"/>
  <c r="AE22" i="11"/>
  <c r="AF22" i="11" s="1"/>
  <c r="AE125" i="11"/>
  <c r="AF125" i="11" s="1"/>
  <c r="AE100" i="11"/>
  <c r="AF100" i="11" s="1"/>
  <c r="AE76" i="11"/>
  <c r="AF76" i="11" s="1"/>
  <c r="AE45" i="11"/>
  <c r="AF45" i="11" s="1"/>
  <c r="AE29" i="11"/>
  <c r="AF29" i="11" s="1"/>
  <c r="AE92" i="11"/>
  <c r="AF92" i="11" s="1"/>
  <c r="AE156" i="11"/>
  <c r="AF156" i="11" s="1"/>
  <c r="AE117" i="11"/>
  <c r="AF117" i="11" s="1"/>
  <c r="AE124" i="11"/>
  <c r="AF124" i="11" s="1"/>
  <c r="AE21" i="11"/>
  <c r="AF21" i="11" s="1"/>
  <c r="AE15" i="11"/>
  <c r="AF15" i="11" s="1"/>
  <c r="AE19" i="11"/>
  <c r="AF19" i="11" s="1"/>
  <c r="AE99" i="11"/>
  <c r="AF99" i="11" s="1"/>
  <c r="AE51" i="11"/>
  <c r="AF51" i="11" s="1"/>
  <c r="AE146" i="11"/>
  <c r="AF146" i="11" s="1"/>
  <c r="AE90" i="11"/>
  <c r="AF90" i="11" s="1"/>
  <c r="AE34" i="11"/>
  <c r="AF34" i="11" s="1"/>
  <c r="AE105" i="11"/>
  <c r="AF105" i="11" s="1"/>
  <c r="AE57" i="11"/>
  <c r="AF57" i="11" s="1"/>
  <c r="AE25" i="11"/>
  <c r="AF25" i="11" s="1"/>
  <c r="AE128" i="11"/>
  <c r="AF128" i="11" s="1"/>
  <c r="AE96" i="11"/>
  <c r="AF96" i="11" s="1"/>
  <c r="AE64" i="11"/>
  <c r="AF64" i="11" s="1"/>
  <c r="AE32" i="11"/>
  <c r="AF32" i="11" s="1"/>
  <c r="AE135" i="11"/>
  <c r="AF135" i="11" s="1"/>
  <c r="AE103" i="11"/>
  <c r="AF103" i="11" s="1"/>
  <c r="AE71" i="11"/>
  <c r="AF71" i="11" s="1"/>
  <c r="AE39" i="11"/>
  <c r="AF39" i="11" s="1"/>
  <c r="AE107" i="11"/>
  <c r="AF107" i="11" s="1"/>
  <c r="AE138" i="11"/>
  <c r="AF138" i="11" s="1"/>
  <c r="AE58" i="11"/>
  <c r="AF58" i="11" s="1"/>
  <c r="AE137" i="11"/>
  <c r="AF137" i="11" s="1"/>
  <c r="AE126" i="11"/>
  <c r="AF126" i="11" s="1"/>
  <c r="AE94" i="11"/>
  <c r="AF94" i="11" s="1"/>
  <c r="AE62" i="11"/>
  <c r="AF62" i="11" s="1"/>
  <c r="AE30" i="11"/>
  <c r="AF30" i="11" s="1"/>
  <c r="AE149" i="11"/>
  <c r="AF149" i="11" s="1"/>
  <c r="AE132" i="11"/>
  <c r="AF132" i="11" s="1"/>
  <c r="AE108" i="11"/>
  <c r="AF108" i="11" s="1"/>
  <c r="AE77" i="11"/>
  <c r="AF77" i="11" s="1"/>
  <c r="AE85" i="11"/>
  <c r="AF85" i="11" s="1"/>
  <c r="AE148" i="11"/>
  <c r="AF148" i="11" s="1"/>
  <c r="AE52" i="11"/>
  <c r="AF52" i="11" s="1"/>
  <c r="AE20" i="11"/>
  <c r="AF20" i="11" s="1"/>
  <c r="AE133" i="11"/>
  <c r="AF133" i="11" s="1"/>
  <c r="I161" i="11"/>
  <c r="O161" i="11" s="1"/>
  <c r="I14" i="11"/>
  <c r="O14" i="11" s="1"/>
  <c r="C53" i="5"/>
  <c r="E53" i="5" s="1"/>
  <c r="H16" i="11" l="1"/>
  <c r="N16" i="11" s="1"/>
  <c r="K16" i="11"/>
  <c r="Z16" i="11"/>
  <c r="AF161" i="11"/>
  <c r="S13" i="11"/>
  <c r="AU13" i="11"/>
  <c r="AK13" i="11"/>
  <c r="AP13" i="11"/>
  <c r="J68" i="5"/>
  <c r="C48" i="5"/>
  <c r="E48" i="5" s="1"/>
  <c r="Q14" i="11"/>
  <c r="D17" i="11"/>
  <c r="AA17" i="11" s="1"/>
  <c r="AB17" i="11" s="1"/>
  <c r="AA16" i="11"/>
  <c r="AB16" i="11" s="1"/>
  <c r="I15" i="11"/>
  <c r="O15" i="11" s="1"/>
  <c r="G16" i="11"/>
  <c r="M16" i="11" s="1"/>
  <c r="C49" i="5"/>
  <c r="E49" i="5" s="1"/>
  <c r="U13" i="11"/>
  <c r="V13" i="11" s="1"/>
  <c r="W13" i="11" s="1"/>
  <c r="R13" i="11"/>
  <c r="AH13" i="11" s="1"/>
  <c r="E70" i="5"/>
  <c r="G70" i="5" s="1"/>
  <c r="C71" i="5"/>
  <c r="E71" i="5" s="1"/>
  <c r="G71" i="5" s="1"/>
  <c r="H161" i="11"/>
  <c r="N161" i="11" s="1"/>
  <c r="H14" i="11"/>
  <c r="N14" i="11" s="1"/>
  <c r="H15" i="11"/>
  <c r="N15" i="11" s="1"/>
  <c r="E67" i="5"/>
  <c r="G67" i="5" s="1"/>
  <c r="J69" i="5"/>
  <c r="Q161" i="11"/>
  <c r="AK161" i="11" l="1"/>
  <c r="J65" i="5"/>
  <c r="I16" i="11"/>
  <c r="J16" i="11"/>
  <c r="AQ13" i="11"/>
  <c r="AR13" i="11" s="1"/>
  <c r="AS13" i="11" s="1"/>
  <c r="AV13" i="11"/>
  <c r="AW13" i="11" s="1"/>
  <c r="AX13" i="11" s="1"/>
  <c r="Z17" i="11"/>
  <c r="D18" i="11"/>
  <c r="AA18" i="11" s="1"/>
  <c r="AB18" i="11" s="1"/>
  <c r="E17" i="11"/>
  <c r="K17" i="11"/>
  <c r="T13" i="11"/>
  <c r="AL13" i="11"/>
  <c r="AM13" i="11" s="1"/>
  <c r="AN13" i="11" s="1"/>
  <c r="H17" i="11"/>
  <c r="N17" i="11" s="1"/>
  <c r="S14" i="11"/>
  <c r="AU14" i="11"/>
  <c r="AK14" i="11"/>
  <c r="AP14" i="11"/>
  <c r="Q15" i="11"/>
  <c r="G17" i="11"/>
  <c r="M17" i="11" s="1"/>
  <c r="AI13" i="11"/>
  <c r="J15" i="11"/>
  <c r="P15" i="11" s="1"/>
  <c r="J161" i="11"/>
  <c r="P161" i="11" s="1"/>
  <c r="J14" i="11"/>
  <c r="P14" i="11" s="1"/>
  <c r="S161" i="11"/>
  <c r="C64" i="5" l="1"/>
  <c r="E64" i="5" s="1"/>
  <c r="P16" i="11"/>
  <c r="R16" i="11" s="1"/>
  <c r="T16" i="11" s="1"/>
  <c r="O16" i="11"/>
  <c r="Q16" i="11" s="1"/>
  <c r="E18" i="11"/>
  <c r="I17" i="11"/>
  <c r="Z18" i="11"/>
  <c r="D19" i="11"/>
  <c r="K19" i="11" s="1"/>
  <c r="U14" i="11"/>
  <c r="V14" i="11" s="1"/>
  <c r="W14" i="11" s="1"/>
  <c r="G18" i="11"/>
  <c r="M18" i="11" s="1"/>
  <c r="K18" i="11"/>
  <c r="J17" i="11"/>
  <c r="H18" i="11"/>
  <c r="N18" i="11" s="1"/>
  <c r="S15" i="11"/>
  <c r="AU15" i="11"/>
  <c r="AP15" i="11"/>
  <c r="AK15" i="11"/>
  <c r="U15" i="11"/>
  <c r="V15" i="11" s="1"/>
  <c r="W15" i="11" s="1"/>
  <c r="R161" i="11"/>
  <c r="AL161" i="11" s="1"/>
  <c r="C65" i="5" s="1"/>
  <c r="U161" i="11"/>
  <c r="V161" i="11" s="1"/>
  <c r="W161" i="11" s="1"/>
  <c r="AM161" i="11" l="1"/>
  <c r="AN161" i="11" s="1"/>
  <c r="J66" i="5"/>
  <c r="P17" i="11"/>
  <c r="R17" i="11" s="1"/>
  <c r="O17" i="11"/>
  <c r="AL16" i="11"/>
  <c r="U16" i="11"/>
  <c r="V16" i="11" s="1"/>
  <c r="W16" i="11" s="1"/>
  <c r="AH16" i="11"/>
  <c r="AI16" i="11" s="1"/>
  <c r="AQ16" i="11"/>
  <c r="AV16" i="11"/>
  <c r="G19" i="11"/>
  <c r="M19" i="11" s="1"/>
  <c r="D20" i="11"/>
  <c r="D21" i="11" s="1"/>
  <c r="H19" i="11"/>
  <c r="N19" i="11" s="1"/>
  <c r="AA19" i="11"/>
  <c r="AB19" i="11" s="1"/>
  <c r="J18" i="11"/>
  <c r="I18" i="11"/>
  <c r="E19" i="11"/>
  <c r="Z19" i="11"/>
  <c r="R14" i="11"/>
  <c r="S16" i="11"/>
  <c r="AU16" i="11"/>
  <c r="AP16" i="11"/>
  <c r="AK16" i="11"/>
  <c r="R15" i="11"/>
  <c r="T161" i="11"/>
  <c r="AH161" i="11"/>
  <c r="AI161" i="11" s="1"/>
  <c r="G64" i="5"/>
  <c r="E20" i="11" l="1"/>
  <c r="P18" i="11"/>
  <c r="R18" i="11" s="1"/>
  <c r="AV18" i="11" s="1"/>
  <c r="I19" i="11"/>
  <c r="T17" i="11"/>
  <c r="AL17" i="11"/>
  <c r="AQ17" i="11"/>
  <c r="AV17" i="11"/>
  <c r="U17" i="11"/>
  <c r="V17" i="11" s="1"/>
  <c r="W17" i="11" s="1"/>
  <c r="AW16" i="11"/>
  <c r="AX16" i="11" s="1"/>
  <c r="O18" i="11"/>
  <c r="Q18" i="11" s="1"/>
  <c r="O19" i="11"/>
  <c r="Q17" i="11"/>
  <c r="S17" i="11" s="1"/>
  <c r="AM16" i="11"/>
  <c r="AN16" i="11" s="1"/>
  <c r="AR16" i="11"/>
  <c r="AS16" i="11" s="1"/>
  <c r="Z20" i="11"/>
  <c r="K20" i="11"/>
  <c r="H20" i="11"/>
  <c r="N20" i="11" s="1"/>
  <c r="J19" i="11"/>
  <c r="P19" i="11" s="1"/>
  <c r="AA20" i="11"/>
  <c r="AB20" i="11" s="1"/>
  <c r="G20" i="11"/>
  <c r="M20" i="11" s="1"/>
  <c r="AQ14" i="11"/>
  <c r="AR14" i="11" s="1"/>
  <c r="AS14" i="11" s="1"/>
  <c r="AV14" i="11"/>
  <c r="AW14" i="11" s="1"/>
  <c r="AX14" i="11" s="1"/>
  <c r="AH15" i="11"/>
  <c r="AI15" i="11" s="1"/>
  <c r="AV15" i="11"/>
  <c r="AW15" i="11" s="1"/>
  <c r="AX15" i="11" s="1"/>
  <c r="AQ15" i="11"/>
  <c r="AR15" i="11" s="1"/>
  <c r="AS15" i="11" s="1"/>
  <c r="AH14" i="11"/>
  <c r="AI14" i="11" s="1"/>
  <c r="T14" i="11"/>
  <c r="AL14" i="11"/>
  <c r="AM14" i="11" s="1"/>
  <c r="AN14" i="11" s="1"/>
  <c r="T15" i="11"/>
  <c r="AL15" i="11"/>
  <c r="AM15" i="11" s="1"/>
  <c r="AN15" i="11" s="1"/>
  <c r="J67" i="5"/>
  <c r="E65" i="5"/>
  <c r="C68" i="5"/>
  <c r="J70" i="5" s="1"/>
  <c r="D22" i="11"/>
  <c r="G21" i="11"/>
  <c r="M21" i="11" s="1"/>
  <c r="H21" i="11"/>
  <c r="N21" i="11" s="1"/>
  <c r="K21" i="11"/>
  <c r="E21" i="11"/>
  <c r="AA21" i="11"/>
  <c r="AB21" i="11" s="1"/>
  <c r="Z21" i="11"/>
  <c r="AK17" i="11" l="1"/>
  <c r="AM17" i="11" s="1"/>
  <c r="AN17" i="11" s="1"/>
  <c r="AP17" i="11"/>
  <c r="AR17" i="11" s="1"/>
  <c r="AS17" i="11" s="1"/>
  <c r="AU17" i="11"/>
  <c r="AW17" i="11" s="1"/>
  <c r="AX17" i="11" s="1"/>
  <c r="AH17" i="11"/>
  <c r="AI17" i="11" s="1"/>
  <c r="AL18" i="11"/>
  <c r="T18" i="11"/>
  <c r="U18" i="11"/>
  <c r="V18" i="11" s="1"/>
  <c r="W18" i="11" s="1"/>
  <c r="J20" i="11"/>
  <c r="AQ18" i="11"/>
  <c r="I20" i="11"/>
  <c r="O20" i="11" s="1"/>
  <c r="AK18" i="11"/>
  <c r="AU18" i="11"/>
  <c r="AW18" i="11" s="1"/>
  <c r="AX18" i="11" s="1"/>
  <c r="AP18" i="11"/>
  <c r="Q19" i="11"/>
  <c r="G65" i="5"/>
  <c r="G68" i="5" s="1"/>
  <c r="E68" i="5"/>
  <c r="J21" i="11"/>
  <c r="P21" i="11" s="1"/>
  <c r="D23" i="11"/>
  <c r="Z22" i="11"/>
  <c r="E22" i="11"/>
  <c r="AA22" i="11"/>
  <c r="AB22" i="11" s="1"/>
  <c r="K22" i="11"/>
  <c r="G22" i="11"/>
  <c r="M22" i="11" s="1"/>
  <c r="H22" i="11"/>
  <c r="N22" i="11" s="1"/>
  <c r="AH18" i="11"/>
  <c r="AI18" i="11" s="1"/>
  <c r="S18" i="11"/>
  <c r="I21" i="11"/>
  <c r="O21" i="11" s="1"/>
  <c r="R19" i="11"/>
  <c r="U19" i="11"/>
  <c r="V19" i="11" s="1"/>
  <c r="W19" i="11" s="1"/>
  <c r="AR18" i="11" l="1"/>
  <c r="AS18" i="11" s="1"/>
  <c r="P20" i="11"/>
  <c r="R20" i="11" s="1"/>
  <c r="AM18" i="11"/>
  <c r="AN18" i="11" s="1"/>
  <c r="AV19" i="11"/>
  <c r="AQ19" i="11"/>
  <c r="AL19" i="11"/>
  <c r="S19" i="11"/>
  <c r="AP19" i="11"/>
  <c r="AU19" i="11"/>
  <c r="AK19" i="11"/>
  <c r="Q20" i="11"/>
  <c r="R21" i="11"/>
  <c r="I22" i="11"/>
  <c r="O22" i="11" s="1"/>
  <c r="T19" i="11"/>
  <c r="AH19" i="11"/>
  <c r="AI19" i="11" s="1"/>
  <c r="J22" i="11"/>
  <c r="P22" i="11" s="1"/>
  <c r="E23" i="11"/>
  <c r="G23" i="11"/>
  <c r="M23" i="11" s="1"/>
  <c r="H23" i="11"/>
  <c r="N23" i="11" s="1"/>
  <c r="D24" i="11"/>
  <c r="AA23" i="11"/>
  <c r="AB23" i="11" s="1"/>
  <c r="K23" i="11"/>
  <c r="Z23" i="11"/>
  <c r="U20" i="11" l="1"/>
  <c r="V20" i="11" s="1"/>
  <c r="W20" i="11" s="1"/>
  <c r="T20" i="11"/>
  <c r="AV20" i="11"/>
  <c r="AQ20" i="11"/>
  <c r="AL20" i="11"/>
  <c r="AV21" i="11"/>
  <c r="AQ21" i="11"/>
  <c r="AW19" i="11"/>
  <c r="AX19" i="11" s="1"/>
  <c r="AM19" i="11"/>
  <c r="AN19" i="11" s="1"/>
  <c r="AR19" i="11"/>
  <c r="AS19" i="11" s="1"/>
  <c r="T21" i="11"/>
  <c r="AL21" i="11"/>
  <c r="AH20" i="11"/>
  <c r="AI20" i="11" s="1"/>
  <c r="AU20" i="11"/>
  <c r="AP20" i="11"/>
  <c r="AK20" i="11"/>
  <c r="S20" i="11"/>
  <c r="U21" i="11"/>
  <c r="V21" i="11" s="1"/>
  <c r="W21" i="11" s="1"/>
  <c r="Q21" i="11"/>
  <c r="R22" i="11"/>
  <c r="E24" i="11"/>
  <c r="AA24" i="11"/>
  <c r="AB24" i="11" s="1"/>
  <c r="Z24" i="11"/>
  <c r="H24" i="11"/>
  <c r="N24" i="11" s="1"/>
  <c r="D25" i="11"/>
  <c r="G24" i="11"/>
  <c r="M24" i="11" s="1"/>
  <c r="K24" i="11"/>
  <c r="I23" i="11"/>
  <c r="O23" i="11" s="1"/>
  <c r="J23" i="11"/>
  <c r="P23" i="11" s="1"/>
  <c r="AM20" i="11" l="1"/>
  <c r="AN20" i="11" s="1"/>
  <c r="AR20" i="11"/>
  <c r="AS20" i="11" s="1"/>
  <c r="AW20" i="11"/>
  <c r="AX20" i="11" s="1"/>
  <c r="AV22" i="11"/>
  <c r="AQ22" i="11"/>
  <c r="T22" i="11"/>
  <c r="AL22" i="11"/>
  <c r="AU21" i="11"/>
  <c r="AW21" i="11" s="1"/>
  <c r="AX21" i="11" s="1"/>
  <c r="AK21" i="11"/>
  <c r="AM21" i="11" s="1"/>
  <c r="AN21" i="11" s="1"/>
  <c r="AP21" i="11"/>
  <c r="AR21" i="11" s="1"/>
  <c r="AS21" i="11" s="1"/>
  <c r="Q22" i="11"/>
  <c r="U22" i="11"/>
  <c r="V22" i="11" s="1"/>
  <c r="W22" i="11" s="1"/>
  <c r="R23" i="11"/>
  <c r="AH21" i="11"/>
  <c r="AI21" i="11" s="1"/>
  <c r="S21" i="11"/>
  <c r="I24" i="11"/>
  <c r="O24" i="11" s="1"/>
  <c r="J24" i="11"/>
  <c r="P24" i="11" s="1"/>
  <c r="D26" i="11"/>
  <c r="Z25" i="11"/>
  <c r="AA25" i="11"/>
  <c r="AB25" i="11" s="1"/>
  <c r="H25" i="11"/>
  <c r="N25" i="11" s="1"/>
  <c r="G25" i="11"/>
  <c r="M25" i="11" s="1"/>
  <c r="E25" i="11"/>
  <c r="K25" i="11"/>
  <c r="AQ23" i="11" l="1"/>
  <c r="AV23" i="11"/>
  <c r="T23" i="11"/>
  <c r="AL23" i="11"/>
  <c r="AH22" i="11"/>
  <c r="AI22" i="11" s="1"/>
  <c r="AU22" i="11"/>
  <c r="AW22" i="11" s="1"/>
  <c r="AX22" i="11" s="1"/>
  <c r="AP22" i="11"/>
  <c r="AR22" i="11" s="1"/>
  <c r="AS22" i="11" s="1"/>
  <c r="AK22" i="11"/>
  <c r="AM22" i="11" s="1"/>
  <c r="AN22" i="11" s="1"/>
  <c r="S22" i="11"/>
  <c r="I25" i="11"/>
  <c r="O25" i="11" s="1"/>
  <c r="Z26" i="11"/>
  <c r="E26" i="11"/>
  <c r="H26" i="11"/>
  <c r="N26" i="11" s="1"/>
  <c r="G26" i="11"/>
  <c r="M26" i="11" s="1"/>
  <c r="AA26" i="11"/>
  <c r="AB26" i="11" s="1"/>
  <c r="D27" i="11"/>
  <c r="K26" i="11"/>
  <c r="J25" i="11"/>
  <c r="P25" i="11" s="1"/>
  <c r="Q23" i="11"/>
  <c r="U23" i="11"/>
  <c r="V23" i="11" s="1"/>
  <c r="W23" i="11" s="1"/>
  <c r="AU23" i="11" l="1"/>
  <c r="AW23" i="11" s="1"/>
  <c r="AX23" i="11" s="1"/>
  <c r="AP23" i="11"/>
  <c r="AR23" i="11" s="1"/>
  <c r="AS23" i="11" s="1"/>
  <c r="AK23" i="11"/>
  <c r="AM23" i="11" s="1"/>
  <c r="AN23" i="11" s="1"/>
  <c r="Q24" i="11"/>
  <c r="R25" i="11"/>
  <c r="R24" i="11"/>
  <c r="U24" i="11"/>
  <c r="V24" i="11" s="1"/>
  <c r="W24" i="11" s="1"/>
  <c r="G27" i="11"/>
  <c r="M27" i="11" s="1"/>
  <c r="D28" i="11"/>
  <c r="AA27" i="11"/>
  <c r="AB27" i="11" s="1"/>
  <c r="K27" i="11"/>
  <c r="E27" i="11"/>
  <c r="H27" i="11"/>
  <c r="N27" i="11" s="1"/>
  <c r="Z27" i="11"/>
  <c r="I26" i="11"/>
  <c r="O26" i="11" s="1"/>
  <c r="AH23" i="11"/>
  <c r="AI23" i="11" s="1"/>
  <c r="S23" i="11"/>
  <c r="J26" i="11"/>
  <c r="P26" i="11" s="1"/>
  <c r="AV24" i="11" l="1"/>
  <c r="AQ24" i="11"/>
  <c r="AV25" i="11"/>
  <c r="AQ25" i="11"/>
  <c r="T25" i="11"/>
  <c r="AL25" i="11"/>
  <c r="AL24" i="11"/>
  <c r="S24" i="11"/>
  <c r="AK24" i="11"/>
  <c r="AU24" i="11"/>
  <c r="AP24" i="11"/>
  <c r="Q25" i="11"/>
  <c r="U25" i="11"/>
  <c r="V25" i="11" s="1"/>
  <c r="W25" i="11" s="1"/>
  <c r="R26" i="11"/>
  <c r="J27" i="11"/>
  <c r="P27" i="11" s="1"/>
  <c r="D29" i="11"/>
  <c r="H28" i="11"/>
  <c r="N28" i="11" s="1"/>
  <c r="AA28" i="11"/>
  <c r="AB28" i="11" s="1"/>
  <c r="K28" i="11"/>
  <c r="G28" i="11"/>
  <c r="M28" i="11" s="1"/>
  <c r="E28" i="11"/>
  <c r="Z28" i="11"/>
  <c r="I27" i="11"/>
  <c r="O27" i="11" s="1"/>
  <c r="T24" i="11"/>
  <c r="AH24" i="11"/>
  <c r="AI24" i="11" s="1"/>
  <c r="AQ26" i="11" l="1"/>
  <c r="AV26" i="11"/>
  <c r="AW24" i="11"/>
  <c r="AX24" i="11" s="1"/>
  <c r="AM24" i="11"/>
  <c r="AN24" i="11" s="1"/>
  <c r="AR24" i="11"/>
  <c r="AS24" i="11" s="1"/>
  <c r="T26" i="11"/>
  <c r="AL26" i="11"/>
  <c r="AP25" i="11"/>
  <c r="AR25" i="11" s="1"/>
  <c r="AS25" i="11" s="1"/>
  <c r="AU25" i="11"/>
  <c r="AW25" i="11" s="1"/>
  <c r="AX25" i="11" s="1"/>
  <c r="AK25" i="11"/>
  <c r="AM25" i="11" s="1"/>
  <c r="AN25" i="11" s="1"/>
  <c r="Q26" i="11"/>
  <c r="AH26" i="11" s="1"/>
  <c r="AI26" i="11" s="1"/>
  <c r="U26" i="11"/>
  <c r="V26" i="11" s="1"/>
  <c r="W26" i="11" s="1"/>
  <c r="AH25" i="11"/>
  <c r="AI25" i="11" s="1"/>
  <c r="S25" i="11"/>
  <c r="J28" i="11"/>
  <c r="P28" i="11" s="1"/>
  <c r="I28" i="11"/>
  <c r="O28" i="11" s="1"/>
  <c r="Z29" i="11"/>
  <c r="AA29" i="11"/>
  <c r="AB29" i="11" s="1"/>
  <c r="H29" i="11"/>
  <c r="N29" i="11" s="1"/>
  <c r="E29" i="11"/>
  <c r="D30" i="11"/>
  <c r="K29" i="11"/>
  <c r="G29" i="11"/>
  <c r="M29" i="11" s="1"/>
  <c r="S26" i="11" l="1"/>
  <c r="AU26" i="11"/>
  <c r="AW26" i="11" s="1"/>
  <c r="AX26" i="11" s="1"/>
  <c r="AP26" i="11"/>
  <c r="AR26" i="11" s="1"/>
  <c r="AS26" i="11" s="1"/>
  <c r="AK26" i="11"/>
  <c r="AM26" i="11" s="1"/>
  <c r="AN26" i="11" s="1"/>
  <c r="Q27" i="11"/>
  <c r="I29" i="11"/>
  <c r="O29" i="11" s="1"/>
  <c r="Z30" i="11"/>
  <c r="G30" i="11"/>
  <c r="M30" i="11" s="1"/>
  <c r="AA30" i="11"/>
  <c r="AB30" i="11" s="1"/>
  <c r="E30" i="11"/>
  <c r="K30" i="11"/>
  <c r="H30" i="11"/>
  <c r="N30" i="11" s="1"/>
  <c r="D31" i="11"/>
  <c r="J29" i="11"/>
  <c r="P29" i="11" s="1"/>
  <c r="R27" i="11"/>
  <c r="U27" i="11"/>
  <c r="V27" i="11" s="1"/>
  <c r="W27" i="11" s="1"/>
  <c r="AV27" i="11" l="1"/>
  <c r="AQ27" i="11"/>
  <c r="AL27" i="11"/>
  <c r="S27" i="11"/>
  <c r="AU27" i="11"/>
  <c r="AP27" i="11"/>
  <c r="AK27" i="11"/>
  <c r="Q28" i="11"/>
  <c r="R28" i="11"/>
  <c r="U28" i="11"/>
  <c r="V28" i="11" s="1"/>
  <c r="W28" i="11" s="1"/>
  <c r="T27" i="11"/>
  <c r="AH27" i="11"/>
  <c r="AI27" i="11" s="1"/>
  <c r="R29" i="11"/>
  <c r="J30" i="11"/>
  <c r="P30" i="11" s="1"/>
  <c r="I30" i="11"/>
  <c r="O30" i="11" s="1"/>
  <c r="Z31" i="11"/>
  <c r="K31" i="11"/>
  <c r="D32" i="11"/>
  <c r="AA31" i="11"/>
  <c r="AB31" i="11" s="1"/>
  <c r="E31" i="11"/>
  <c r="H31" i="11"/>
  <c r="N31" i="11" s="1"/>
  <c r="G31" i="11"/>
  <c r="M31" i="11" s="1"/>
  <c r="AV29" i="11" l="1"/>
  <c r="AQ29" i="11"/>
  <c r="AV28" i="11"/>
  <c r="AQ28" i="11"/>
  <c r="AM27" i="11"/>
  <c r="AN27" i="11" s="1"/>
  <c r="AW27" i="11"/>
  <c r="AX27" i="11" s="1"/>
  <c r="AR27" i="11"/>
  <c r="AS27" i="11" s="1"/>
  <c r="AL28" i="11"/>
  <c r="T29" i="11"/>
  <c r="AL29" i="11"/>
  <c r="S28" i="11"/>
  <c r="AU28" i="11"/>
  <c r="AK28" i="11"/>
  <c r="AP28" i="11"/>
  <c r="I31" i="11"/>
  <c r="O31" i="11" s="1"/>
  <c r="G32" i="11"/>
  <c r="M32" i="11" s="1"/>
  <c r="H32" i="11"/>
  <c r="N32" i="11" s="1"/>
  <c r="E32" i="11"/>
  <c r="K32" i="11"/>
  <c r="AA32" i="11"/>
  <c r="AB32" i="11" s="1"/>
  <c r="D33" i="11"/>
  <c r="Z32" i="11"/>
  <c r="Q29" i="11"/>
  <c r="U29" i="11"/>
  <c r="V29" i="11" s="1"/>
  <c r="W29" i="11" s="1"/>
  <c r="J31" i="11"/>
  <c r="P31" i="11" s="1"/>
  <c r="T28" i="11"/>
  <c r="AH28" i="11"/>
  <c r="AI28" i="11" s="1"/>
  <c r="AW28" i="11" l="1"/>
  <c r="AX28" i="11" s="1"/>
  <c r="AM28" i="11"/>
  <c r="AN28" i="11" s="1"/>
  <c r="AR28" i="11"/>
  <c r="AS28" i="11" s="1"/>
  <c r="AU29" i="11"/>
  <c r="AW29" i="11" s="1"/>
  <c r="AX29" i="11" s="1"/>
  <c r="AK29" i="11"/>
  <c r="AM29" i="11" s="1"/>
  <c r="AN29" i="11" s="1"/>
  <c r="AP29" i="11"/>
  <c r="AR29" i="11" s="1"/>
  <c r="AS29" i="11" s="1"/>
  <c r="Q30" i="11"/>
  <c r="R31" i="11"/>
  <c r="R30" i="11"/>
  <c r="U30" i="11"/>
  <c r="V30" i="11" s="1"/>
  <c r="W30" i="11" s="1"/>
  <c r="D34" i="11"/>
  <c r="H33" i="11"/>
  <c r="N33" i="11" s="1"/>
  <c r="G33" i="11"/>
  <c r="M33" i="11" s="1"/>
  <c r="Z33" i="11"/>
  <c r="AA33" i="11"/>
  <c r="AB33" i="11" s="1"/>
  <c r="K33" i="11"/>
  <c r="E33" i="11"/>
  <c r="J32" i="11"/>
  <c r="P32" i="11" s="1"/>
  <c r="AH29" i="11"/>
  <c r="AI29" i="11" s="1"/>
  <c r="S29" i="11"/>
  <c r="I32" i="11"/>
  <c r="O32" i="11" s="1"/>
  <c r="AV30" i="11" l="1"/>
  <c r="AQ30" i="11"/>
  <c r="AV31" i="11"/>
  <c r="AQ31" i="11"/>
  <c r="T31" i="11"/>
  <c r="AL31" i="11"/>
  <c r="AL30" i="11"/>
  <c r="S30" i="11"/>
  <c r="AK30" i="11"/>
  <c r="AU30" i="11"/>
  <c r="AP30" i="11"/>
  <c r="R32" i="11"/>
  <c r="I33" i="11"/>
  <c r="O33" i="11" s="1"/>
  <c r="H34" i="11"/>
  <c r="N34" i="11" s="1"/>
  <c r="K34" i="11"/>
  <c r="E34" i="11"/>
  <c r="G34" i="11"/>
  <c r="M34" i="11" s="1"/>
  <c r="Z34" i="11"/>
  <c r="D35" i="11"/>
  <c r="AA34" i="11"/>
  <c r="AB34" i="11" s="1"/>
  <c r="T30" i="11"/>
  <c r="AH30" i="11"/>
  <c r="AI30" i="11" s="1"/>
  <c r="Q31" i="11"/>
  <c r="U31" i="11"/>
  <c r="V31" i="11" s="1"/>
  <c r="W31" i="11" s="1"/>
  <c r="J33" i="11"/>
  <c r="P33" i="11" s="1"/>
  <c r="AR30" i="11" l="1"/>
  <c r="AS30" i="11" s="1"/>
  <c r="AW30" i="11"/>
  <c r="AX30" i="11" s="1"/>
  <c r="AV32" i="11"/>
  <c r="AQ32" i="11"/>
  <c r="AM30" i="11"/>
  <c r="AN30" i="11" s="1"/>
  <c r="T32" i="11"/>
  <c r="AL32" i="11"/>
  <c r="AP31" i="11"/>
  <c r="AR31" i="11" s="1"/>
  <c r="AS31" i="11" s="1"/>
  <c r="AU31" i="11"/>
  <c r="AW31" i="11" s="1"/>
  <c r="AX31" i="11" s="1"/>
  <c r="AK31" i="11"/>
  <c r="AM31" i="11" s="1"/>
  <c r="AN31" i="11" s="1"/>
  <c r="Q32" i="11"/>
  <c r="U32" i="11"/>
  <c r="V32" i="11" s="1"/>
  <c r="W32" i="11" s="1"/>
  <c r="R33" i="11"/>
  <c r="AH31" i="11"/>
  <c r="AI31" i="11" s="1"/>
  <c r="S31" i="11"/>
  <c r="Z35" i="11"/>
  <c r="D36" i="11"/>
  <c r="K35" i="11"/>
  <c r="H35" i="11"/>
  <c r="N35" i="11" s="1"/>
  <c r="AA35" i="11"/>
  <c r="AB35" i="11" s="1"/>
  <c r="G35" i="11"/>
  <c r="M35" i="11" s="1"/>
  <c r="E35" i="11"/>
  <c r="I34" i="11"/>
  <c r="O34" i="11" s="1"/>
  <c r="J34" i="11"/>
  <c r="P34" i="11" s="1"/>
  <c r="AV33" i="11" l="1"/>
  <c r="AQ33" i="11"/>
  <c r="T33" i="11"/>
  <c r="AL33" i="11"/>
  <c r="S32" i="11"/>
  <c r="AU32" i="11"/>
  <c r="AW32" i="11" s="1"/>
  <c r="AX32" i="11" s="1"/>
  <c r="AP32" i="11"/>
  <c r="AR32" i="11" s="1"/>
  <c r="AS32" i="11" s="1"/>
  <c r="AK32" i="11"/>
  <c r="AM32" i="11" s="1"/>
  <c r="AN32" i="11" s="1"/>
  <c r="Q33" i="11"/>
  <c r="AH33" i="11" s="1"/>
  <c r="AI33" i="11" s="1"/>
  <c r="AH32" i="11"/>
  <c r="AI32" i="11" s="1"/>
  <c r="R34" i="11"/>
  <c r="U33" i="11"/>
  <c r="V33" i="11" s="1"/>
  <c r="W33" i="11" s="1"/>
  <c r="I35" i="11"/>
  <c r="O35" i="11" s="1"/>
  <c r="J35" i="11"/>
  <c r="P35" i="11" s="1"/>
  <c r="AA36" i="11"/>
  <c r="AB36" i="11" s="1"/>
  <c r="K36" i="11"/>
  <c r="H36" i="11"/>
  <c r="N36" i="11" s="1"/>
  <c r="D37" i="11"/>
  <c r="G36" i="11"/>
  <c r="M36" i="11" s="1"/>
  <c r="E36" i="11"/>
  <c r="Z36" i="11"/>
  <c r="AV34" i="11" l="1"/>
  <c r="AQ34" i="11"/>
  <c r="T34" i="11"/>
  <c r="AL34" i="11"/>
  <c r="S33" i="11"/>
  <c r="AU33" i="11"/>
  <c r="AW33" i="11" s="1"/>
  <c r="AX33" i="11" s="1"/>
  <c r="AP33" i="11"/>
  <c r="AR33" i="11" s="1"/>
  <c r="AS33" i="11" s="1"/>
  <c r="AK33" i="11"/>
  <c r="AM33" i="11" s="1"/>
  <c r="AN33" i="11" s="1"/>
  <c r="Q34" i="11"/>
  <c r="AH34" i="11" s="1"/>
  <c r="AI34" i="11" s="1"/>
  <c r="U34" i="11"/>
  <c r="V34" i="11" s="1"/>
  <c r="W34" i="11" s="1"/>
  <c r="G37" i="11"/>
  <c r="M37" i="11" s="1"/>
  <c r="H37" i="11"/>
  <c r="N37" i="11" s="1"/>
  <c r="E37" i="11"/>
  <c r="Z37" i="11"/>
  <c r="K37" i="11"/>
  <c r="D38" i="11"/>
  <c r="AA37" i="11"/>
  <c r="AB37" i="11" s="1"/>
  <c r="R35" i="11"/>
  <c r="I36" i="11"/>
  <c r="O36" i="11" s="1"/>
  <c r="J36" i="11"/>
  <c r="P36" i="11" s="1"/>
  <c r="AQ35" i="11" l="1"/>
  <c r="AV35" i="11"/>
  <c r="T35" i="11"/>
  <c r="AL35" i="11"/>
  <c r="AU34" i="11"/>
  <c r="AW34" i="11" s="1"/>
  <c r="AX34" i="11" s="1"/>
  <c r="AK34" i="11"/>
  <c r="AM34" i="11" s="1"/>
  <c r="AN34" i="11" s="1"/>
  <c r="AP34" i="11"/>
  <c r="AR34" i="11" s="1"/>
  <c r="AS34" i="11" s="1"/>
  <c r="S34" i="11"/>
  <c r="R36" i="11"/>
  <c r="AA38" i="11"/>
  <c r="AB38" i="11" s="1"/>
  <c r="Z38" i="11"/>
  <c r="D39" i="11"/>
  <c r="K38" i="11"/>
  <c r="E38" i="11"/>
  <c r="H38" i="11"/>
  <c r="N38" i="11" s="1"/>
  <c r="G38" i="11"/>
  <c r="M38" i="11" s="1"/>
  <c r="J37" i="11"/>
  <c r="P37" i="11" s="1"/>
  <c r="Q35" i="11"/>
  <c r="U35" i="11"/>
  <c r="V35" i="11" s="1"/>
  <c r="W35" i="11" s="1"/>
  <c r="I37" i="11"/>
  <c r="O37" i="11" s="1"/>
  <c r="AV36" i="11" l="1"/>
  <c r="AQ36" i="11"/>
  <c r="T36" i="11"/>
  <c r="AL36" i="11"/>
  <c r="AU35" i="11"/>
  <c r="AW35" i="11" s="1"/>
  <c r="AX35" i="11" s="1"/>
  <c r="AP35" i="11"/>
  <c r="AR35" i="11" s="1"/>
  <c r="AS35" i="11" s="1"/>
  <c r="AK35" i="11"/>
  <c r="AM35" i="11" s="1"/>
  <c r="AN35" i="11" s="1"/>
  <c r="U36" i="11"/>
  <c r="V36" i="11" s="1"/>
  <c r="W36" i="11" s="1"/>
  <c r="Q36" i="11"/>
  <c r="AH35" i="11"/>
  <c r="AI35" i="11" s="1"/>
  <c r="S35" i="11"/>
  <c r="R37" i="11"/>
  <c r="J38" i="11"/>
  <c r="P38" i="11" s="1"/>
  <c r="I38" i="11"/>
  <c r="O38" i="11" s="1"/>
  <c r="H39" i="11"/>
  <c r="N39" i="11" s="1"/>
  <c r="D40" i="11"/>
  <c r="AA39" i="11"/>
  <c r="AB39" i="11" s="1"/>
  <c r="Z39" i="11"/>
  <c r="E39" i="11"/>
  <c r="K39" i="11"/>
  <c r="G39" i="11"/>
  <c r="M39" i="11" s="1"/>
  <c r="AV37" i="11" l="1"/>
  <c r="AQ37" i="11"/>
  <c r="T37" i="11"/>
  <c r="AL37" i="11"/>
  <c r="S36" i="11"/>
  <c r="AK36" i="11"/>
  <c r="AM36" i="11" s="1"/>
  <c r="AN36" i="11" s="1"/>
  <c r="AU36" i="11"/>
  <c r="AW36" i="11" s="1"/>
  <c r="AX36" i="11" s="1"/>
  <c r="AP36" i="11"/>
  <c r="AR36" i="11" s="1"/>
  <c r="AS36" i="11" s="1"/>
  <c r="AH36" i="11"/>
  <c r="AI36" i="11" s="1"/>
  <c r="R38" i="11"/>
  <c r="H40" i="11"/>
  <c r="N40" i="11" s="1"/>
  <c r="AA40" i="11"/>
  <c r="AB40" i="11" s="1"/>
  <c r="E40" i="11"/>
  <c r="Z40" i="11"/>
  <c r="K40" i="11"/>
  <c r="G40" i="11"/>
  <c r="M40" i="11" s="1"/>
  <c r="D41" i="11"/>
  <c r="I39" i="11"/>
  <c r="O39" i="11" s="1"/>
  <c r="J39" i="11"/>
  <c r="P39" i="11" s="1"/>
  <c r="Q37" i="11"/>
  <c r="U37" i="11"/>
  <c r="V37" i="11" s="1"/>
  <c r="W37" i="11" s="1"/>
  <c r="AQ38" i="11" l="1"/>
  <c r="AV38" i="11"/>
  <c r="T38" i="11"/>
  <c r="AL38" i="11"/>
  <c r="AP37" i="11"/>
  <c r="AR37" i="11" s="1"/>
  <c r="AS37" i="11" s="1"/>
  <c r="AU37" i="11"/>
  <c r="AW37" i="11" s="1"/>
  <c r="AX37" i="11" s="1"/>
  <c r="AK37" i="11"/>
  <c r="AM37" i="11" s="1"/>
  <c r="AN37" i="11" s="1"/>
  <c r="Q38" i="11"/>
  <c r="U38" i="11"/>
  <c r="V38" i="11" s="1"/>
  <c r="W38" i="11" s="1"/>
  <c r="I40" i="11"/>
  <c r="O40" i="11" s="1"/>
  <c r="S37" i="11"/>
  <c r="AH37" i="11"/>
  <c r="AI37" i="11" s="1"/>
  <c r="R39" i="11"/>
  <c r="AA41" i="11"/>
  <c r="AB41" i="11" s="1"/>
  <c r="K41" i="11"/>
  <c r="E41" i="11"/>
  <c r="H41" i="11"/>
  <c r="N41" i="11" s="1"/>
  <c r="G41" i="11"/>
  <c r="M41" i="11" s="1"/>
  <c r="D42" i="11"/>
  <c r="Z41" i="11"/>
  <c r="J40" i="11"/>
  <c r="P40" i="11" s="1"/>
  <c r="AV39" i="11" l="1"/>
  <c r="AQ39" i="11"/>
  <c r="T39" i="11"/>
  <c r="AL39" i="11"/>
  <c r="AU38" i="11"/>
  <c r="AW38" i="11" s="1"/>
  <c r="AX38" i="11" s="1"/>
  <c r="AP38" i="11"/>
  <c r="AR38" i="11" s="1"/>
  <c r="AS38" i="11" s="1"/>
  <c r="AK38" i="11"/>
  <c r="AM38" i="11" s="1"/>
  <c r="AN38" i="11" s="1"/>
  <c r="AA42" i="11"/>
  <c r="AB42" i="11" s="1"/>
  <c r="G42" i="11"/>
  <c r="M42" i="11" s="1"/>
  <c r="K42" i="11"/>
  <c r="D43" i="11"/>
  <c r="H42" i="11"/>
  <c r="N42" i="11" s="1"/>
  <c r="Z42" i="11"/>
  <c r="E42" i="11"/>
  <c r="J41" i="11"/>
  <c r="P41" i="11" s="1"/>
  <c r="U39" i="11"/>
  <c r="V39" i="11" s="1"/>
  <c r="W39" i="11" s="1"/>
  <c r="Q39" i="11"/>
  <c r="I41" i="11"/>
  <c r="O41" i="11" s="1"/>
  <c r="AH38" i="11"/>
  <c r="AI38" i="11" s="1"/>
  <c r="S38" i="11"/>
  <c r="AU39" i="11" l="1"/>
  <c r="AW39" i="11" s="1"/>
  <c r="AX39" i="11" s="1"/>
  <c r="AK39" i="11"/>
  <c r="AM39" i="11" s="1"/>
  <c r="AN39" i="11" s="1"/>
  <c r="AP39" i="11"/>
  <c r="AR39" i="11" s="1"/>
  <c r="AS39" i="11" s="1"/>
  <c r="Q40" i="11"/>
  <c r="AH39" i="11"/>
  <c r="AI39" i="11" s="1"/>
  <c r="S39" i="11"/>
  <c r="J42" i="11"/>
  <c r="P42" i="11" s="1"/>
  <c r="Z43" i="11"/>
  <c r="H43" i="11"/>
  <c r="N43" i="11" s="1"/>
  <c r="D44" i="11"/>
  <c r="E43" i="11"/>
  <c r="K43" i="11"/>
  <c r="G43" i="11"/>
  <c r="M43" i="11" s="1"/>
  <c r="AA43" i="11"/>
  <c r="AB43" i="11" s="1"/>
  <c r="I42" i="11"/>
  <c r="O42" i="11" s="1"/>
  <c r="R40" i="11"/>
  <c r="U40" i="11"/>
  <c r="V40" i="11" s="1"/>
  <c r="W40" i="11" s="1"/>
  <c r="AV40" i="11" l="1"/>
  <c r="AQ40" i="11"/>
  <c r="AL40" i="11"/>
  <c r="S40" i="11"/>
  <c r="AU40" i="11"/>
  <c r="AP40" i="11"/>
  <c r="AK40" i="11"/>
  <c r="Q41" i="11"/>
  <c r="R42" i="11"/>
  <c r="AA44" i="11"/>
  <c r="AB44" i="11" s="1"/>
  <c r="Z44" i="11"/>
  <c r="E44" i="11"/>
  <c r="H44" i="11"/>
  <c r="N44" i="11" s="1"/>
  <c r="G44" i="11"/>
  <c r="M44" i="11" s="1"/>
  <c r="D45" i="11"/>
  <c r="K44" i="11"/>
  <c r="T40" i="11"/>
  <c r="AH40" i="11"/>
  <c r="AI40" i="11" s="1"/>
  <c r="I43" i="11"/>
  <c r="O43" i="11" s="1"/>
  <c r="J43" i="11"/>
  <c r="P43" i="11" s="1"/>
  <c r="R41" i="11"/>
  <c r="U41" i="11"/>
  <c r="V41" i="11" s="1"/>
  <c r="W41" i="11" s="1"/>
  <c r="AV41" i="11" l="1"/>
  <c r="AQ41" i="11"/>
  <c r="AV42" i="11"/>
  <c r="AQ42" i="11"/>
  <c r="AR40" i="11"/>
  <c r="AS40" i="11" s="1"/>
  <c r="AW40" i="11"/>
  <c r="AX40" i="11" s="1"/>
  <c r="AM40" i="11"/>
  <c r="AN40" i="11" s="1"/>
  <c r="AL41" i="11"/>
  <c r="T42" i="11"/>
  <c r="AL42" i="11"/>
  <c r="S41" i="11"/>
  <c r="AU41" i="11"/>
  <c r="AK41" i="11"/>
  <c r="AP41" i="11"/>
  <c r="R43" i="11"/>
  <c r="I44" i="11"/>
  <c r="O44" i="11" s="1"/>
  <c r="T41" i="11"/>
  <c r="AH41" i="11"/>
  <c r="AI41" i="11" s="1"/>
  <c r="D46" i="11"/>
  <c r="E45" i="11"/>
  <c r="H45" i="11"/>
  <c r="N45" i="11" s="1"/>
  <c r="K45" i="11"/>
  <c r="G45" i="11"/>
  <c r="M45" i="11" s="1"/>
  <c r="AA45" i="11"/>
  <c r="AB45" i="11" s="1"/>
  <c r="Z45" i="11"/>
  <c r="J44" i="11"/>
  <c r="P44" i="11" s="1"/>
  <c r="Q42" i="11"/>
  <c r="U42" i="11"/>
  <c r="V42" i="11" s="1"/>
  <c r="W42" i="11" s="1"/>
  <c r="AW41" i="11" l="1"/>
  <c r="AX41" i="11" s="1"/>
  <c r="AV43" i="11"/>
  <c r="AQ43" i="11"/>
  <c r="AM41" i="11"/>
  <c r="AN41" i="11" s="1"/>
  <c r="AR41" i="11"/>
  <c r="AS41" i="11" s="1"/>
  <c r="T43" i="11"/>
  <c r="AL43" i="11"/>
  <c r="AK42" i="11"/>
  <c r="AM42" i="11" s="1"/>
  <c r="AN42" i="11" s="1"/>
  <c r="AU42" i="11"/>
  <c r="AW42" i="11" s="1"/>
  <c r="AX42" i="11" s="1"/>
  <c r="AP42" i="11"/>
  <c r="AR42" i="11" s="1"/>
  <c r="AS42" i="11" s="1"/>
  <c r="Q43" i="11"/>
  <c r="AH43" i="11" s="1"/>
  <c r="AI43" i="11" s="1"/>
  <c r="U43" i="11"/>
  <c r="V43" i="11" s="1"/>
  <c r="W43" i="11" s="1"/>
  <c r="AH42" i="11"/>
  <c r="AI42" i="11" s="1"/>
  <c r="S42" i="11"/>
  <c r="R44" i="11"/>
  <c r="I45" i="11"/>
  <c r="O45" i="11" s="1"/>
  <c r="J45" i="11"/>
  <c r="P45" i="11" s="1"/>
  <c r="Z46" i="11"/>
  <c r="D47" i="11"/>
  <c r="E46" i="11"/>
  <c r="K46" i="11"/>
  <c r="G46" i="11"/>
  <c r="M46" i="11" s="1"/>
  <c r="H46" i="11"/>
  <c r="N46" i="11" s="1"/>
  <c r="AA46" i="11"/>
  <c r="AB46" i="11" s="1"/>
  <c r="AV44" i="11" l="1"/>
  <c r="AQ44" i="11"/>
  <c r="T44" i="11"/>
  <c r="AL44" i="11"/>
  <c r="S43" i="11"/>
  <c r="AP43" i="11"/>
  <c r="AR43" i="11" s="1"/>
  <c r="AS43" i="11" s="1"/>
  <c r="AU43" i="11"/>
  <c r="AW43" i="11" s="1"/>
  <c r="AX43" i="11" s="1"/>
  <c r="AK43" i="11"/>
  <c r="AM43" i="11" s="1"/>
  <c r="AN43" i="11" s="1"/>
  <c r="Q44" i="11"/>
  <c r="S44" i="11" s="1"/>
  <c r="R45" i="11"/>
  <c r="I46" i="11"/>
  <c r="O46" i="11" s="1"/>
  <c r="J46" i="11"/>
  <c r="P46" i="11" s="1"/>
  <c r="E47" i="11"/>
  <c r="Z47" i="11"/>
  <c r="G47" i="11"/>
  <c r="M47" i="11" s="1"/>
  <c r="K47" i="11"/>
  <c r="H47" i="11"/>
  <c r="N47" i="11" s="1"/>
  <c r="D48" i="11"/>
  <c r="AA47" i="11"/>
  <c r="AB47" i="11" s="1"/>
  <c r="U44" i="11"/>
  <c r="V44" i="11" s="1"/>
  <c r="W44" i="11" s="1"/>
  <c r="AV45" i="11" l="1"/>
  <c r="AQ45" i="11"/>
  <c r="T45" i="11"/>
  <c r="AL45" i="11"/>
  <c r="AH44" i="11"/>
  <c r="AI44" i="11" s="1"/>
  <c r="AU44" i="11"/>
  <c r="AW44" i="11" s="1"/>
  <c r="AX44" i="11" s="1"/>
  <c r="AP44" i="11"/>
  <c r="AR44" i="11" s="1"/>
  <c r="AS44" i="11" s="1"/>
  <c r="AK44" i="11"/>
  <c r="AM44" i="11" s="1"/>
  <c r="AN44" i="11" s="1"/>
  <c r="J47" i="11"/>
  <c r="P47" i="11" s="1"/>
  <c r="I47" i="11"/>
  <c r="O47" i="11" s="1"/>
  <c r="H48" i="11"/>
  <c r="N48" i="11" s="1"/>
  <c r="AA48" i="11"/>
  <c r="AB48" i="11" s="1"/>
  <c r="E48" i="11"/>
  <c r="G48" i="11"/>
  <c r="M48" i="11" s="1"/>
  <c r="Z48" i="11"/>
  <c r="D49" i="11"/>
  <c r="K48" i="11"/>
  <c r="U45" i="11"/>
  <c r="V45" i="11" s="1"/>
  <c r="W45" i="11" s="1"/>
  <c r="Q45" i="11"/>
  <c r="AU45" i="11" l="1"/>
  <c r="AW45" i="11" s="1"/>
  <c r="AX45" i="11" s="1"/>
  <c r="AP45" i="11"/>
  <c r="AR45" i="11" s="1"/>
  <c r="AS45" i="11" s="1"/>
  <c r="AK45" i="11"/>
  <c r="AM45" i="11" s="1"/>
  <c r="AN45" i="11" s="1"/>
  <c r="Q46" i="11"/>
  <c r="R47" i="11"/>
  <c r="S45" i="11"/>
  <c r="AH45" i="11"/>
  <c r="AI45" i="11" s="1"/>
  <c r="J48" i="11"/>
  <c r="P48" i="11" s="1"/>
  <c r="G49" i="11"/>
  <c r="M49" i="11" s="1"/>
  <c r="H49" i="11"/>
  <c r="N49" i="11" s="1"/>
  <c r="Z49" i="11"/>
  <c r="AA49" i="11"/>
  <c r="AB49" i="11" s="1"/>
  <c r="D50" i="11"/>
  <c r="K49" i="11"/>
  <c r="E49" i="11"/>
  <c r="I48" i="11"/>
  <c r="O48" i="11" s="1"/>
  <c r="R46" i="11"/>
  <c r="U46" i="11"/>
  <c r="V46" i="11" s="1"/>
  <c r="W46" i="11" s="1"/>
  <c r="AV46" i="11" l="1"/>
  <c r="AQ46" i="11"/>
  <c r="AQ47" i="11"/>
  <c r="AV47" i="11"/>
  <c r="AL46" i="11"/>
  <c r="T47" i="11"/>
  <c r="AL47" i="11"/>
  <c r="S46" i="11"/>
  <c r="AU46" i="11"/>
  <c r="AP46" i="11"/>
  <c r="AR46" i="11" s="1"/>
  <c r="AS46" i="11" s="1"/>
  <c r="AK46" i="11"/>
  <c r="U47" i="11"/>
  <c r="V47" i="11" s="1"/>
  <c r="W47" i="11" s="1"/>
  <c r="Q47" i="11"/>
  <c r="T46" i="11"/>
  <c r="AH46" i="11"/>
  <c r="AI46" i="11" s="1"/>
  <c r="J49" i="11"/>
  <c r="P49" i="11" s="1"/>
  <c r="H50" i="11"/>
  <c r="N50" i="11" s="1"/>
  <c r="E50" i="11"/>
  <c r="Z50" i="11"/>
  <c r="AA50" i="11"/>
  <c r="AB50" i="11" s="1"/>
  <c r="D51" i="11"/>
  <c r="K50" i="11"/>
  <c r="G50" i="11"/>
  <c r="M50" i="11" s="1"/>
  <c r="I49" i="11"/>
  <c r="O49" i="11" s="1"/>
  <c r="AW46" i="11" l="1"/>
  <c r="AX46" i="11" s="1"/>
  <c r="AM46" i="11"/>
  <c r="AN46" i="11" s="1"/>
  <c r="AU47" i="11"/>
  <c r="AW47" i="11" s="1"/>
  <c r="AX47" i="11" s="1"/>
  <c r="AP47" i="11"/>
  <c r="AR47" i="11" s="1"/>
  <c r="AS47" i="11" s="1"/>
  <c r="AK47" i="11"/>
  <c r="AM47" i="11" s="1"/>
  <c r="AN47" i="11" s="1"/>
  <c r="Q48" i="11"/>
  <c r="R49" i="11"/>
  <c r="R48" i="11"/>
  <c r="U48" i="11"/>
  <c r="V48" i="11" s="1"/>
  <c r="W48" i="11" s="1"/>
  <c r="AH47" i="11"/>
  <c r="AI47" i="11" s="1"/>
  <c r="S47" i="11"/>
  <c r="I50" i="11"/>
  <c r="O50" i="11" s="1"/>
  <c r="Z51" i="11"/>
  <c r="D52" i="11"/>
  <c r="K51" i="11"/>
  <c r="G51" i="11"/>
  <c r="M51" i="11" s="1"/>
  <c r="H51" i="11"/>
  <c r="N51" i="11" s="1"/>
  <c r="AA51" i="11"/>
  <c r="AB51" i="11" s="1"/>
  <c r="E51" i="11"/>
  <c r="J50" i="11"/>
  <c r="P50" i="11" s="1"/>
  <c r="AV48" i="11" l="1"/>
  <c r="AQ48" i="11"/>
  <c r="AV49" i="11"/>
  <c r="AQ49" i="11"/>
  <c r="AL48" i="11"/>
  <c r="T49" i="11"/>
  <c r="AL49" i="11"/>
  <c r="S48" i="11"/>
  <c r="AK48" i="11"/>
  <c r="AM48" i="11" s="1"/>
  <c r="AN48" i="11" s="1"/>
  <c r="AU48" i="11"/>
  <c r="AP48" i="11"/>
  <c r="R50" i="11"/>
  <c r="Q49" i="11"/>
  <c r="U49" i="11"/>
  <c r="V49" i="11" s="1"/>
  <c r="W49" i="11" s="1"/>
  <c r="I51" i="11"/>
  <c r="O51" i="11" s="1"/>
  <c r="E52" i="11"/>
  <c r="H52" i="11"/>
  <c r="N52" i="11" s="1"/>
  <c r="G52" i="11"/>
  <c r="M52" i="11" s="1"/>
  <c r="AA52" i="11"/>
  <c r="AB52" i="11" s="1"/>
  <c r="D53" i="11"/>
  <c r="Z52" i="11"/>
  <c r="K52" i="11"/>
  <c r="J51" i="11"/>
  <c r="P51" i="11" s="1"/>
  <c r="T48" i="11"/>
  <c r="AH48" i="11"/>
  <c r="AI48" i="11" s="1"/>
  <c r="AQ50" i="11" l="1"/>
  <c r="AV50" i="11"/>
  <c r="AW48" i="11"/>
  <c r="AX48" i="11" s="1"/>
  <c r="AR48" i="11"/>
  <c r="AS48" i="11" s="1"/>
  <c r="T50" i="11"/>
  <c r="AL50" i="11"/>
  <c r="AP49" i="11"/>
  <c r="AR49" i="11" s="1"/>
  <c r="AS49" i="11" s="1"/>
  <c r="AU49" i="11"/>
  <c r="AW49" i="11" s="1"/>
  <c r="AX49" i="11" s="1"/>
  <c r="AK49" i="11"/>
  <c r="AM49" i="11" s="1"/>
  <c r="AN49" i="11" s="1"/>
  <c r="AH49" i="11"/>
  <c r="AI49" i="11" s="1"/>
  <c r="S49" i="11"/>
  <c r="Q50" i="11"/>
  <c r="U50" i="11"/>
  <c r="V50" i="11" s="1"/>
  <c r="W50" i="11" s="1"/>
  <c r="J52" i="11"/>
  <c r="P52" i="11" s="1"/>
  <c r="AA53" i="11"/>
  <c r="AB53" i="11" s="1"/>
  <c r="D54" i="11"/>
  <c r="Z53" i="11"/>
  <c r="H53" i="11"/>
  <c r="N53" i="11" s="1"/>
  <c r="E53" i="11"/>
  <c r="K53" i="11"/>
  <c r="G53" i="11"/>
  <c r="M53" i="11" s="1"/>
  <c r="I52" i="11"/>
  <c r="O52" i="11" s="1"/>
  <c r="AU50" i="11" l="1"/>
  <c r="AW50" i="11" s="1"/>
  <c r="AX50" i="11" s="1"/>
  <c r="AP50" i="11"/>
  <c r="AR50" i="11" s="1"/>
  <c r="AS50" i="11" s="1"/>
  <c r="AK50" i="11"/>
  <c r="AM50" i="11" s="1"/>
  <c r="AN50" i="11" s="1"/>
  <c r="Q51" i="11"/>
  <c r="I53" i="11"/>
  <c r="O53" i="11" s="1"/>
  <c r="J53" i="11"/>
  <c r="P53" i="11" s="1"/>
  <c r="G54" i="11"/>
  <c r="M54" i="11" s="1"/>
  <c r="D55" i="11"/>
  <c r="AA54" i="11"/>
  <c r="AB54" i="11" s="1"/>
  <c r="E54" i="11"/>
  <c r="K54" i="11"/>
  <c r="Z54" i="11"/>
  <c r="H54" i="11"/>
  <c r="N54" i="11" s="1"/>
  <c r="R51" i="11"/>
  <c r="U51" i="11"/>
  <c r="V51" i="11" s="1"/>
  <c r="W51" i="11" s="1"/>
  <c r="AH50" i="11"/>
  <c r="AI50" i="11" s="1"/>
  <c r="S50" i="11"/>
  <c r="AV51" i="11" l="1"/>
  <c r="AQ51" i="11"/>
  <c r="AL51" i="11"/>
  <c r="S51" i="11"/>
  <c r="AU51" i="11"/>
  <c r="AK51" i="11"/>
  <c r="AP51" i="11"/>
  <c r="Q52" i="11"/>
  <c r="R53" i="11"/>
  <c r="J54" i="11"/>
  <c r="P54" i="11" s="1"/>
  <c r="I54" i="11"/>
  <c r="O54" i="11" s="1"/>
  <c r="T51" i="11"/>
  <c r="AH51" i="11"/>
  <c r="AI51" i="11" s="1"/>
  <c r="E55" i="11"/>
  <c r="G55" i="11"/>
  <c r="M55" i="11" s="1"/>
  <c r="H55" i="11"/>
  <c r="N55" i="11" s="1"/>
  <c r="D56" i="11"/>
  <c r="Z55" i="11"/>
  <c r="K55" i="11"/>
  <c r="AA55" i="11"/>
  <c r="AB55" i="11" s="1"/>
  <c r="R52" i="11"/>
  <c r="U52" i="11"/>
  <c r="V52" i="11" s="1"/>
  <c r="W52" i="11" s="1"/>
  <c r="AM51" i="11" l="1"/>
  <c r="AN51" i="11" s="1"/>
  <c r="AV52" i="11"/>
  <c r="AQ52" i="11"/>
  <c r="AV53" i="11"/>
  <c r="AQ53" i="11"/>
  <c r="AW51" i="11"/>
  <c r="AX51" i="11" s="1"/>
  <c r="AR51" i="11"/>
  <c r="AS51" i="11" s="1"/>
  <c r="AL52" i="11"/>
  <c r="T53" i="11"/>
  <c r="AL53" i="11"/>
  <c r="S52" i="11"/>
  <c r="AU52" i="11"/>
  <c r="AP52" i="11"/>
  <c r="AK52" i="11"/>
  <c r="Q53" i="11"/>
  <c r="U53" i="11"/>
  <c r="V53" i="11" s="1"/>
  <c r="W53" i="11" s="1"/>
  <c r="T52" i="11"/>
  <c r="AH52" i="11"/>
  <c r="AI52" i="11" s="1"/>
  <c r="E56" i="11"/>
  <c r="K56" i="11"/>
  <c r="Z56" i="11"/>
  <c r="D57" i="11"/>
  <c r="G56" i="11"/>
  <c r="M56" i="11" s="1"/>
  <c r="H56" i="11"/>
  <c r="N56" i="11" s="1"/>
  <c r="AA56" i="11"/>
  <c r="AB56" i="11" s="1"/>
  <c r="I55" i="11"/>
  <c r="O55" i="11" s="1"/>
  <c r="J55" i="11"/>
  <c r="P55" i="11" s="1"/>
  <c r="AR52" i="11" l="1"/>
  <c r="AS52" i="11" s="1"/>
  <c r="AW52" i="11"/>
  <c r="AX52" i="11" s="1"/>
  <c r="AM52" i="11"/>
  <c r="AN52" i="11" s="1"/>
  <c r="S53" i="11"/>
  <c r="AU53" i="11"/>
  <c r="AW53" i="11" s="1"/>
  <c r="AX53" i="11" s="1"/>
  <c r="AP53" i="11"/>
  <c r="AR53" i="11" s="1"/>
  <c r="AS53" i="11" s="1"/>
  <c r="AK53" i="11"/>
  <c r="AM53" i="11" s="1"/>
  <c r="AN53" i="11" s="1"/>
  <c r="AH53" i="11"/>
  <c r="AI53" i="11" s="1"/>
  <c r="Q54" i="11"/>
  <c r="R55" i="11"/>
  <c r="R54" i="11"/>
  <c r="U54" i="11"/>
  <c r="V54" i="11" s="1"/>
  <c r="W54" i="11" s="1"/>
  <c r="J56" i="11"/>
  <c r="P56" i="11" s="1"/>
  <c r="Z57" i="11"/>
  <c r="K57" i="11"/>
  <c r="G57" i="11"/>
  <c r="M57" i="11" s="1"/>
  <c r="H57" i="11"/>
  <c r="N57" i="11" s="1"/>
  <c r="D58" i="11"/>
  <c r="AA57" i="11"/>
  <c r="AB57" i="11" s="1"/>
  <c r="E57" i="11"/>
  <c r="I56" i="11"/>
  <c r="O56" i="11" s="1"/>
  <c r="AV54" i="11" l="1"/>
  <c r="AQ54" i="11"/>
  <c r="AV55" i="11"/>
  <c r="AQ55" i="11"/>
  <c r="T55" i="11"/>
  <c r="AL55" i="11"/>
  <c r="AL54" i="11"/>
  <c r="S54" i="11"/>
  <c r="AK54" i="11"/>
  <c r="AP54" i="11"/>
  <c r="AU54" i="11"/>
  <c r="R56" i="11"/>
  <c r="D59" i="11"/>
  <c r="Z58" i="11"/>
  <c r="AA58" i="11"/>
  <c r="AB58" i="11" s="1"/>
  <c r="K58" i="11"/>
  <c r="E58" i="11"/>
  <c r="G58" i="11"/>
  <c r="M58" i="11" s="1"/>
  <c r="H58" i="11"/>
  <c r="N58" i="11" s="1"/>
  <c r="I57" i="11"/>
  <c r="O57" i="11" s="1"/>
  <c r="J57" i="11"/>
  <c r="P57" i="11" s="1"/>
  <c r="Q55" i="11"/>
  <c r="U55" i="11"/>
  <c r="V55" i="11" s="1"/>
  <c r="W55" i="11" s="1"/>
  <c r="T54" i="11"/>
  <c r="AH54" i="11"/>
  <c r="AI54" i="11" s="1"/>
  <c r="AR54" i="11" l="1"/>
  <c r="AS54" i="11" s="1"/>
  <c r="AV56" i="11"/>
  <c r="AQ56" i="11"/>
  <c r="AW54" i="11"/>
  <c r="AX54" i="11" s="1"/>
  <c r="AM54" i="11"/>
  <c r="AN54" i="11" s="1"/>
  <c r="T56" i="11"/>
  <c r="AL56" i="11"/>
  <c r="AP55" i="11"/>
  <c r="AR55" i="11" s="1"/>
  <c r="AS55" i="11" s="1"/>
  <c r="AU55" i="11"/>
  <c r="AW55" i="11" s="1"/>
  <c r="AX55" i="11" s="1"/>
  <c r="AK55" i="11"/>
  <c r="AM55" i="11" s="1"/>
  <c r="AN55" i="11" s="1"/>
  <c r="R57" i="11"/>
  <c r="Q56" i="11"/>
  <c r="U56" i="11"/>
  <c r="V56" i="11" s="1"/>
  <c r="W56" i="11" s="1"/>
  <c r="S55" i="11"/>
  <c r="AH55" i="11"/>
  <c r="AI55" i="11" s="1"/>
  <c r="I58" i="11"/>
  <c r="O58" i="11" s="1"/>
  <c r="J58" i="11"/>
  <c r="P58" i="11" s="1"/>
  <c r="Z59" i="11"/>
  <c r="E59" i="11"/>
  <c r="K59" i="11"/>
  <c r="H59" i="11"/>
  <c r="N59" i="11" s="1"/>
  <c r="D60" i="11"/>
  <c r="G59" i="11"/>
  <c r="M59" i="11" s="1"/>
  <c r="AA59" i="11"/>
  <c r="AB59" i="11" s="1"/>
  <c r="AV57" i="11" l="1"/>
  <c r="AQ57" i="11"/>
  <c r="T57" i="11"/>
  <c r="AL57" i="11"/>
  <c r="AU56" i="11"/>
  <c r="AW56" i="11" s="1"/>
  <c r="AX56" i="11" s="1"/>
  <c r="AP56" i="11"/>
  <c r="AR56" i="11" s="1"/>
  <c r="AS56" i="11" s="1"/>
  <c r="AK56" i="11"/>
  <c r="AM56" i="11" s="1"/>
  <c r="AN56" i="11" s="1"/>
  <c r="AH56" i="11"/>
  <c r="AI56" i="11" s="1"/>
  <c r="S56" i="11"/>
  <c r="G60" i="11"/>
  <c r="M60" i="11" s="1"/>
  <c r="AA60" i="11"/>
  <c r="AB60" i="11" s="1"/>
  <c r="Z60" i="11"/>
  <c r="K60" i="11"/>
  <c r="E60" i="11"/>
  <c r="H60" i="11"/>
  <c r="N60" i="11" s="1"/>
  <c r="D61" i="11"/>
  <c r="R58" i="11"/>
  <c r="I59" i="11"/>
  <c r="O59" i="11" s="1"/>
  <c r="J59" i="11"/>
  <c r="P59" i="11" s="1"/>
  <c r="U57" i="11"/>
  <c r="V57" i="11" s="1"/>
  <c r="W57" i="11" s="1"/>
  <c r="Q57" i="11"/>
  <c r="AV58" i="11" l="1"/>
  <c r="AQ58" i="11"/>
  <c r="T58" i="11"/>
  <c r="AL58" i="11"/>
  <c r="AU57" i="11"/>
  <c r="AW57" i="11" s="1"/>
  <c r="AX57" i="11" s="1"/>
  <c r="AP57" i="11"/>
  <c r="AR57" i="11" s="1"/>
  <c r="AS57" i="11" s="1"/>
  <c r="AK57" i="11"/>
  <c r="AM57" i="11" s="1"/>
  <c r="AN57" i="11" s="1"/>
  <c r="J60" i="11"/>
  <c r="P60" i="11" s="1"/>
  <c r="AH57" i="11"/>
  <c r="AI57" i="11" s="1"/>
  <c r="S57" i="11"/>
  <c r="U58" i="11"/>
  <c r="V58" i="11" s="1"/>
  <c r="W58" i="11" s="1"/>
  <c r="Q58" i="11"/>
  <c r="Z61" i="11"/>
  <c r="H61" i="11"/>
  <c r="N61" i="11" s="1"/>
  <c r="E61" i="11"/>
  <c r="G61" i="11"/>
  <c r="M61" i="11" s="1"/>
  <c r="D62" i="11"/>
  <c r="AA61" i="11"/>
  <c r="AB61" i="11" s="1"/>
  <c r="K61" i="11"/>
  <c r="I60" i="11"/>
  <c r="O60" i="11" s="1"/>
  <c r="AP58" i="11" l="1"/>
  <c r="AR58" i="11" s="1"/>
  <c r="AS58" i="11" s="1"/>
  <c r="AK58" i="11"/>
  <c r="AM58" i="11" s="1"/>
  <c r="AN58" i="11" s="1"/>
  <c r="AU58" i="11"/>
  <c r="AW58" i="11" s="1"/>
  <c r="AX58" i="11" s="1"/>
  <c r="Q59" i="11"/>
  <c r="H62" i="11"/>
  <c r="N62" i="11" s="1"/>
  <c r="G62" i="11"/>
  <c r="M62" i="11" s="1"/>
  <c r="D63" i="11"/>
  <c r="Z62" i="11"/>
  <c r="AA62" i="11"/>
  <c r="AB62" i="11" s="1"/>
  <c r="K62" i="11"/>
  <c r="E62" i="11"/>
  <c r="I61" i="11"/>
  <c r="O61" i="11" s="1"/>
  <c r="J61" i="11"/>
  <c r="P61" i="11" s="1"/>
  <c r="AH58" i="11"/>
  <c r="AI58" i="11" s="1"/>
  <c r="S58" i="11"/>
  <c r="R59" i="11"/>
  <c r="U59" i="11"/>
  <c r="V59" i="11" s="1"/>
  <c r="W59" i="11" s="1"/>
  <c r="R60" i="11"/>
  <c r="AQ59" i="11" l="1"/>
  <c r="AV59" i="11"/>
  <c r="AV60" i="11"/>
  <c r="AQ60" i="11"/>
  <c r="T60" i="11"/>
  <c r="AL60" i="11"/>
  <c r="AL59" i="11"/>
  <c r="S59" i="11"/>
  <c r="AP59" i="11"/>
  <c r="AK59" i="11"/>
  <c r="AU59" i="11"/>
  <c r="Q60" i="11"/>
  <c r="R61" i="11"/>
  <c r="H63" i="11"/>
  <c r="N63" i="11" s="1"/>
  <c r="G63" i="11"/>
  <c r="M63" i="11" s="1"/>
  <c r="D64" i="11"/>
  <c r="Z63" i="11"/>
  <c r="AA63" i="11"/>
  <c r="AB63" i="11" s="1"/>
  <c r="E63" i="11"/>
  <c r="K63" i="11"/>
  <c r="J62" i="11"/>
  <c r="P62" i="11" s="1"/>
  <c r="T59" i="11"/>
  <c r="AH59" i="11"/>
  <c r="AI59" i="11" s="1"/>
  <c r="I62" i="11"/>
  <c r="O62" i="11" s="1"/>
  <c r="U60" i="11"/>
  <c r="V60" i="11" s="1"/>
  <c r="W60" i="11" s="1"/>
  <c r="AW59" i="11" l="1"/>
  <c r="AX59" i="11" s="1"/>
  <c r="AV61" i="11"/>
  <c r="AQ61" i="11"/>
  <c r="AR59" i="11"/>
  <c r="AS59" i="11" s="1"/>
  <c r="AM59" i="11"/>
  <c r="AN59" i="11" s="1"/>
  <c r="T61" i="11"/>
  <c r="AL61" i="11"/>
  <c r="S60" i="11"/>
  <c r="AK60" i="11"/>
  <c r="AM60" i="11" s="1"/>
  <c r="AN60" i="11" s="1"/>
  <c r="AU60" i="11"/>
  <c r="AW60" i="11" s="1"/>
  <c r="AX60" i="11" s="1"/>
  <c r="AP60" i="11"/>
  <c r="AR60" i="11" s="1"/>
  <c r="AS60" i="11" s="1"/>
  <c r="AH60" i="11"/>
  <c r="AI60" i="11" s="1"/>
  <c r="Q61" i="11"/>
  <c r="AH61" i="11" s="1"/>
  <c r="AI61" i="11" s="1"/>
  <c r="U61" i="11"/>
  <c r="V61" i="11" s="1"/>
  <c r="W61" i="11" s="1"/>
  <c r="R62" i="11"/>
  <c r="D65" i="11"/>
  <c r="AA64" i="11"/>
  <c r="AB64" i="11" s="1"/>
  <c r="K64" i="11"/>
  <c r="E64" i="11"/>
  <c r="G64" i="11"/>
  <c r="M64" i="11" s="1"/>
  <c r="H64" i="11"/>
  <c r="N64" i="11" s="1"/>
  <c r="Z64" i="11"/>
  <c r="J63" i="11"/>
  <c r="P63" i="11" s="1"/>
  <c r="I63" i="11"/>
  <c r="O63" i="11" s="1"/>
  <c r="AQ62" i="11" l="1"/>
  <c r="AV62" i="11"/>
  <c r="S61" i="11"/>
  <c r="T62" i="11"/>
  <c r="AL62" i="11"/>
  <c r="AP61" i="11"/>
  <c r="AR61" i="11" s="1"/>
  <c r="AS61" i="11" s="1"/>
  <c r="AU61" i="11"/>
  <c r="AW61" i="11" s="1"/>
  <c r="AX61" i="11" s="1"/>
  <c r="AK61" i="11"/>
  <c r="AM61" i="11" s="1"/>
  <c r="AN61" i="11" s="1"/>
  <c r="Q62" i="11"/>
  <c r="U62" i="11"/>
  <c r="V62" i="11" s="1"/>
  <c r="W62" i="11" s="1"/>
  <c r="R63" i="11"/>
  <c r="J64" i="11"/>
  <c r="P64" i="11" s="1"/>
  <c r="I64" i="11"/>
  <c r="O64" i="11" s="1"/>
  <c r="D66" i="11"/>
  <c r="G65" i="11"/>
  <c r="M65" i="11" s="1"/>
  <c r="Z65" i="11"/>
  <c r="E65" i="11"/>
  <c r="K65" i="11"/>
  <c r="H65" i="11"/>
  <c r="N65" i="11" s="1"/>
  <c r="AA65" i="11"/>
  <c r="AB65" i="11" s="1"/>
  <c r="AV63" i="11" l="1"/>
  <c r="AQ63" i="11"/>
  <c r="AL63" i="11"/>
  <c r="S62" i="11"/>
  <c r="AP62" i="11"/>
  <c r="AR62" i="11" s="1"/>
  <c r="AS62" i="11" s="1"/>
  <c r="AU62" i="11"/>
  <c r="AW62" i="11" s="1"/>
  <c r="AX62" i="11" s="1"/>
  <c r="AK62" i="11"/>
  <c r="AM62" i="11" s="1"/>
  <c r="AN62" i="11" s="1"/>
  <c r="Q63" i="11"/>
  <c r="AH62" i="11"/>
  <c r="AI62" i="11" s="1"/>
  <c r="J65" i="11"/>
  <c r="P65" i="11" s="1"/>
  <c r="I65" i="11"/>
  <c r="O65" i="11" s="1"/>
  <c r="T63" i="11"/>
  <c r="Z66" i="11"/>
  <c r="H66" i="11"/>
  <c r="N66" i="11" s="1"/>
  <c r="K66" i="11"/>
  <c r="D67" i="11"/>
  <c r="E66" i="11"/>
  <c r="G66" i="11"/>
  <c r="M66" i="11" s="1"/>
  <c r="AA66" i="11"/>
  <c r="AB66" i="11" s="1"/>
  <c r="U63" i="11"/>
  <c r="V63" i="11" s="1"/>
  <c r="W63" i="11" s="1"/>
  <c r="S63" i="11" l="1"/>
  <c r="AP63" i="11"/>
  <c r="AR63" i="11" s="1"/>
  <c r="AS63" i="11" s="1"/>
  <c r="AU63" i="11"/>
  <c r="AW63" i="11" s="1"/>
  <c r="AX63" i="11" s="1"/>
  <c r="AK63" i="11"/>
  <c r="AM63" i="11" s="1"/>
  <c r="AN63" i="11" s="1"/>
  <c r="AH63" i="11"/>
  <c r="AI63" i="11" s="1"/>
  <c r="Q64" i="11"/>
  <c r="R64" i="11"/>
  <c r="U64" i="11"/>
  <c r="V64" i="11" s="1"/>
  <c r="W64" i="11" s="1"/>
  <c r="I66" i="11"/>
  <c r="O66" i="11" s="1"/>
  <c r="D68" i="11"/>
  <c r="AA67" i="11"/>
  <c r="AB67" i="11" s="1"/>
  <c r="H67" i="11"/>
  <c r="N67" i="11" s="1"/>
  <c r="E67" i="11"/>
  <c r="G67" i="11"/>
  <c r="M67" i="11" s="1"/>
  <c r="K67" i="11"/>
  <c r="Z67" i="11"/>
  <c r="J66" i="11"/>
  <c r="P66" i="11" s="1"/>
  <c r="AV64" i="11" l="1"/>
  <c r="AQ64" i="11"/>
  <c r="AL64" i="11"/>
  <c r="S64" i="11"/>
  <c r="AU64" i="11"/>
  <c r="AP64" i="11"/>
  <c r="AR64" i="11" s="1"/>
  <c r="AS64" i="11" s="1"/>
  <c r="AK64" i="11"/>
  <c r="Q65" i="11"/>
  <c r="R66" i="11"/>
  <c r="R65" i="11"/>
  <c r="U65" i="11"/>
  <c r="V65" i="11" s="1"/>
  <c r="W65" i="11" s="1"/>
  <c r="I67" i="11"/>
  <c r="O67" i="11" s="1"/>
  <c r="J67" i="11"/>
  <c r="P67" i="11" s="1"/>
  <c r="Z68" i="11"/>
  <c r="H68" i="11"/>
  <c r="N68" i="11" s="1"/>
  <c r="K68" i="11"/>
  <c r="E68" i="11"/>
  <c r="G68" i="11"/>
  <c r="M68" i="11" s="1"/>
  <c r="D69" i="11"/>
  <c r="AA68" i="11"/>
  <c r="AB68" i="11" s="1"/>
  <c r="T64" i="11"/>
  <c r="AH64" i="11"/>
  <c r="AI64" i="11" s="1"/>
  <c r="AM64" i="11" l="1"/>
  <c r="AN64" i="11" s="1"/>
  <c r="AV65" i="11"/>
  <c r="AQ65" i="11"/>
  <c r="AV66" i="11"/>
  <c r="AQ66" i="11"/>
  <c r="AW64" i="11"/>
  <c r="AX64" i="11" s="1"/>
  <c r="T66" i="11"/>
  <c r="AL66" i="11"/>
  <c r="AL65" i="11"/>
  <c r="S65" i="11"/>
  <c r="AU65" i="11"/>
  <c r="AK65" i="11"/>
  <c r="AP65" i="11"/>
  <c r="Q66" i="11"/>
  <c r="S66" i="11" s="1"/>
  <c r="U66" i="11"/>
  <c r="V66" i="11" s="1"/>
  <c r="W66" i="11" s="1"/>
  <c r="R67" i="11"/>
  <c r="Z69" i="11"/>
  <c r="AA69" i="11"/>
  <c r="AB69" i="11" s="1"/>
  <c r="G69" i="11"/>
  <c r="M69" i="11" s="1"/>
  <c r="H69" i="11"/>
  <c r="N69" i="11" s="1"/>
  <c r="D70" i="11"/>
  <c r="E69" i="11"/>
  <c r="K69" i="11"/>
  <c r="J68" i="11"/>
  <c r="P68" i="11" s="1"/>
  <c r="I68" i="11"/>
  <c r="O68" i="11" s="1"/>
  <c r="T65" i="11"/>
  <c r="AH65" i="11"/>
  <c r="AI65" i="11" s="1"/>
  <c r="AR65" i="11" l="1"/>
  <c r="AS65" i="11" s="1"/>
  <c r="AV67" i="11"/>
  <c r="AQ67" i="11"/>
  <c r="AM65" i="11"/>
  <c r="AN65" i="11" s="1"/>
  <c r="AW65" i="11"/>
  <c r="AX65" i="11" s="1"/>
  <c r="T67" i="11"/>
  <c r="AL67" i="11"/>
  <c r="AH66" i="11"/>
  <c r="AI66" i="11" s="1"/>
  <c r="AK66" i="11"/>
  <c r="AM66" i="11" s="1"/>
  <c r="AN66" i="11" s="1"/>
  <c r="AU66" i="11"/>
  <c r="AW66" i="11" s="1"/>
  <c r="AX66" i="11" s="1"/>
  <c r="AP66" i="11"/>
  <c r="AR66" i="11" s="1"/>
  <c r="AS66" i="11" s="1"/>
  <c r="Q67" i="11"/>
  <c r="AH67" i="11" s="1"/>
  <c r="AI67" i="11" s="1"/>
  <c r="U67" i="11"/>
  <c r="V67" i="11" s="1"/>
  <c r="W67" i="11" s="1"/>
  <c r="R68" i="11"/>
  <c r="J69" i="11"/>
  <c r="P69" i="11" s="1"/>
  <c r="D71" i="11"/>
  <c r="K70" i="11"/>
  <c r="G70" i="11"/>
  <c r="M70" i="11" s="1"/>
  <c r="H70" i="11"/>
  <c r="N70" i="11" s="1"/>
  <c r="E70" i="11"/>
  <c r="Z70" i="11"/>
  <c r="AA70" i="11"/>
  <c r="AB70" i="11" s="1"/>
  <c r="I69" i="11"/>
  <c r="O69" i="11" s="1"/>
  <c r="AV68" i="11" l="1"/>
  <c r="AQ68" i="11"/>
  <c r="S67" i="11"/>
  <c r="T68" i="11"/>
  <c r="AL68" i="11"/>
  <c r="AP67" i="11"/>
  <c r="AR67" i="11" s="1"/>
  <c r="AS67" i="11" s="1"/>
  <c r="AU67" i="11"/>
  <c r="AW67" i="11" s="1"/>
  <c r="AX67" i="11" s="1"/>
  <c r="AK67" i="11"/>
  <c r="AM67" i="11" s="1"/>
  <c r="AN67" i="11" s="1"/>
  <c r="J70" i="11"/>
  <c r="P70" i="11" s="1"/>
  <c r="R69" i="11"/>
  <c r="I70" i="11"/>
  <c r="O70" i="11" s="1"/>
  <c r="Z71" i="11"/>
  <c r="D72" i="11"/>
  <c r="AA71" i="11"/>
  <c r="AB71" i="11" s="1"/>
  <c r="E71" i="11"/>
  <c r="H71" i="11"/>
  <c r="N71" i="11" s="1"/>
  <c r="K71" i="11"/>
  <c r="G71" i="11"/>
  <c r="M71" i="11" s="1"/>
  <c r="Q68" i="11"/>
  <c r="U68" i="11"/>
  <c r="V68" i="11" s="1"/>
  <c r="W68" i="11" s="1"/>
  <c r="AV69" i="11" l="1"/>
  <c r="AQ69" i="11"/>
  <c r="T69" i="11"/>
  <c r="AL69" i="11"/>
  <c r="AP68" i="11"/>
  <c r="AR68" i="11" s="1"/>
  <c r="AS68" i="11" s="1"/>
  <c r="AU68" i="11"/>
  <c r="AW68" i="11" s="1"/>
  <c r="AX68" i="11" s="1"/>
  <c r="AK68" i="11"/>
  <c r="AM68" i="11" s="1"/>
  <c r="AN68" i="11" s="1"/>
  <c r="Q69" i="11"/>
  <c r="S69" i="11" s="1"/>
  <c r="I71" i="11"/>
  <c r="O71" i="11" s="1"/>
  <c r="J71" i="11"/>
  <c r="P71" i="11" s="1"/>
  <c r="R70" i="11"/>
  <c r="S68" i="11"/>
  <c r="AH68" i="11"/>
  <c r="AI68" i="11" s="1"/>
  <c r="E72" i="11"/>
  <c r="H72" i="11"/>
  <c r="N72" i="11" s="1"/>
  <c r="K72" i="11"/>
  <c r="D73" i="11"/>
  <c r="G72" i="11"/>
  <c r="M72" i="11" s="1"/>
  <c r="AA72" i="11"/>
  <c r="AB72" i="11" s="1"/>
  <c r="Z72" i="11"/>
  <c r="U69" i="11"/>
  <c r="V69" i="11" s="1"/>
  <c r="W69" i="11" s="1"/>
  <c r="AV70" i="11" l="1"/>
  <c r="AQ70" i="11"/>
  <c r="AH69" i="11"/>
  <c r="AI69" i="11" s="1"/>
  <c r="T70" i="11"/>
  <c r="AL70" i="11"/>
  <c r="AU69" i="11"/>
  <c r="AW69" i="11" s="1"/>
  <c r="AX69" i="11" s="1"/>
  <c r="AP69" i="11"/>
  <c r="AR69" i="11" s="1"/>
  <c r="AS69" i="11" s="1"/>
  <c r="AK69" i="11"/>
  <c r="AM69" i="11" s="1"/>
  <c r="AN69" i="11" s="1"/>
  <c r="R71" i="11"/>
  <c r="K73" i="11"/>
  <c r="E73" i="11"/>
  <c r="Z73" i="11"/>
  <c r="G73" i="11"/>
  <c r="M73" i="11" s="1"/>
  <c r="D74" i="11"/>
  <c r="H73" i="11"/>
  <c r="N73" i="11" s="1"/>
  <c r="AA73" i="11"/>
  <c r="AB73" i="11" s="1"/>
  <c r="J72" i="11"/>
  <c r="P72" i="11" s="1"/>
  <c r="I72" i="11"/>
  <c r="O72" i="11" s="1"/>
  <c r="Q70" i="11"/>
  <c r="U70" i="11"/>
  <c r="V70" i="11" s="1"/>
  <c r="W70" i="11" s="1"/>
  <c r="AV71" i="11" l="1"/>
  <c r="AQ71" i="11"/>
  <c r="T71" i="11"/>
  <c r="AL71" i="11"/>
  <c r="AU70" i="11"/>
  <c r="AW70" i="11" s="1"/>
  <c r="AX70" i="11" s="1"/>
  <c r="AK70" i="11"/>
  <c r="AM70" i="11" s="1"/>
  <c r="AN70" i="11" s="1"/>
  <c r="AP70" i="11"/>
  <c r="AR70" i="11" s="1"/>
  <c r="AS70" i="11" s="1"/>
  <c r="Q71" i="11"/>
  <c r="U71" i="11"/>
  <c r="V71" i="11" s="1"/>
  <c r="W71" i="11" s="1"/>
  <c r="Q72" i="11"/>
  <c r="R72" i="11"/>
  <c r="S70" i="11"/>
  <c r="AH70" i="11"/>
  <c r="AI70" i="11" s="1"/>
  <c r="J73" i="11"/>
  <c r="P73" i="11" s="1"/>
  <c r="I73" i="11"/>
  <c r="O73" i="11" s="1"/>
  <c r="K74" i="11"/>
  <c r="H74" i="11"/>
  <c r="N74" i="11" s="1"/>
  <c r="Z74" i="11"/>
  <c r="AA74" i="11"/>
  <c r="AB74" i="11" s="1"/>
  <c r="G74" i="11"/>
  <c r="M74" i="11" s="1"/>
  <c r="E74" i="11"/>
  <c r="D75" i="11"/>
  <c r="AV72" i="11" l="1"/>
  <c r="AQ72" i="11"/>
  <c r="T72" i="11"/>
  <c r="AL72" i="11"/>
  <c r="S72" i="11"/>
  <c r="AK72" i="11"/>
  <c r="AP72" i="11"/>
  <c r="AR72" i="11" s="1"/>
  <c r="AS72" i="11" s="1"/>
  <c r="AU72" i="11"/>
  <c r="AP71" i="11"/>
  <c r="AR71" i="11" s="1"/>
  <c r="AS71" i="11" s="1"/>
  <c r="AK71" i="11"/>
  <c r="AM71" i="11" s="1"/>
  <c r="AN71" i="11" s="1"/>
  <c r="AU71" i="11"/>
  <c r="AW71" i="11" s="1"/>
  <c r="AX71" i="11" s="1"/>
  <c r="AH72" i="11"/>
  <c r="AI72" i="11" s="1"/>
  <c r="R73" i="11"/>
  <c r="U72" i="11"/>
  <c r="V72" i="11" s="1"/>
  <c r="W72" i="11" s="1"/>
  <c r="AH71" i="11"/>
  <c r="AI71" i="11" s="1"/>
  <c r="S71" i="11"/>
  <c r="J74" i="11"/>
  <c r="P74" i="11" s="1"/>
  <c r="D76" i="11"/>
  <c r="E75" i="11"/>
  <c r="K75" i="11"/>
  <c r="G75" i="11"/>
  <c r="M75" i="11" s="1"/>
  <c r="H75" i="11"/>
  <c r="N75" i="11" s="1"/>
  <c r="AA75" i="11"/>
  <c r="AB75" i="11" s="1"/>
  <c r="Z75" i="11"/>
  <c r="I74" i="11"/>
  <c r="O74" i="11" s="1"/>
  <c r="AW72" i="11" l="1"/>
  <c r="AX72" i="11" s="1"/>
  <c r="AQ73" i="11"/>
  <c r="AV73" i="11"/>
  <c r="AM72" i="11"/>
  <c r="AN72" i="11" s="1"/>
  <c r="T73" i="11"/>
  <c r="AL73" i="11"/>
  <c r="U73" i="11"/>
  <c r="V73" i="11" s="1"/>
  <c r="W73" i="11" s="1"/>
  <c r="Q73" i="11"/>
  <c r="R74" i="11"/>
  <c r="J75" i="11"/>
  <c r="P75" i="11" s="1"/>
  <c r="I75" i="11"/>
  <c r="O75" i="11" s="1"/>
  <c r="D77" i="11"/>
  <c r="AA76" i="11"/>
  <c r="AB76" i="11" s="1"/>
  <c r="H76" i="11"/>
  <c r="N76" i="11" s="1"/>
  <c r="E76" i="11"/>
  <c r="K76" i="11"/>
  <c r="Z76" i="11"/>
  <c r="G76" i="11"/>
  <c r="M76" i="11" s="1"/>
  <c r="AQ74" i="11" l="1"/>
  <c r="AV74" i="11"/>
  <c r="T74" i="11"/>
  <c r="AL74" i="11"/>
  <c r="S73" i="11"/>
  <c r="AP73" i="11"/>
  <c r="AR73" i="11" s="1"/>
  <c r="AS73" i="11" s="1"/>
  <c r="AU73" i="11"/>
  <c r="AW73" i="11" s="1"/>
  <c r="AX73" i="11" s="1"/>
  <c r="AK73" i="11"/>
  <c r="AM73" i="11" s="1"/>
  <c r="AN73" i="11" s="1"/>
  <c r="Q74" i="11"/>
  <c r="AH74" i="11" s="1"/>
  <c r="AI74" i="11" s="1"/>
  <c r="AH73" i="11"/>
  <c r="AI73" i="11" s="1"/>
  <c r="U74" i="11"/>
  <c r="V74" i="11" s="1"/>
  <c r="W74" i="11" s="1"/>
  <c r="R75" i="11"/>
  <c r="I76" i="11"/>
  <c r="O76" i="11" s="1"/>
  <c r="J76" i="11"/>
  <c r="P76" i="11" s="1"/>
  <c r="G77" i="11"/>
  <c r="M77" i="11" s="1"/>
  <c r="H77" i="11"/>
  <c r="N77" i="11" s="1"/>
  <c r="D78" i="11"/>
  <c r="Z77" i="11"/>
  <c r="E77" i="11"/>
  <c r="K77" i="11"/>
  <c r="AA77" i="11"/>
  <c r="AB77" i="11" s="1"/>
  <c r="AV75" i="11" l="1"/>
  <c r="AQ75" i="11"/>
  <c r="S74" i="11"/>
  <c r="T75" i="11"/>
  <c r="AL75" i="11"/>
  <c r="AU74" i="11"/>
  <c r="AW74" i="11" s="1"/>
  <c r="AX74" i="11" s="1"/>
  <c r="AP74" i="11"/>
  <c r="AR74" i="11" s="1"/>
  <c r="AS74" i="11" s="1"/>
  <c r="AK74" i="11"/>
  <c r="AM74" i="11" s="1"/>
  <c r="AN74" i="11" s="1"/>
  <c r="Q75" i="11"/>
  <c r="AH75" i="11" s="1"/>
  <c r="AI75" i="11" s="1"/>
  <c r="U75" i="11"/>
  <c r="V75" i="11" s="1"/>
  <c r="W75" i="11" s="1"/>
  <c r="G78" i="11"/>
  <c r="M78" i="11" s="1"/>
  <c r="H78" i="11"/>
  <c r="N78" i="11" s="1"/>
  <c r="K78" i="11"/>
  <c r="AA78" i="11"/>
  <c r="AB78" i="11" s="1"/>
  <c r="D79" i="11"/>
  <c r="Z78" i="11"/>
  <c r="E78" i="11"/>
  <c r="I77" i="11"/>
  <c r="O77" i="11" s="1"/>
  <c r="J77" i="11"/>
  <c r="P77" i="11" s="1"/>
  <c r="S75" i="11" l="1"/>
  <c r="AU75" i="11"/>
  <c r="AW75" i="11" s="1"/>
  <c r="AX75" i="11" s="1"/>
  <c r="AP75" i="11"/>
  <c r="AR75" i="11" s="1"/>
  <c r="AS75" i="11" s="1"/>
  <c r="AK75" i="11"/>
  <c r="AM75" i="11" s="1"/>
  <c r="AN75" i="11" s="1"/>
  <c r="Q76" i="11"/>
  <c r="R77" i="11"/>
  <c r="R76" i="11"/>
  <c r="U76" i="11"/>
  <c r="V76" i="11" s="1"/>
  <c r="W76" i="11" s="1"/>
  <c r="J78" i="11"/>
  <c r="P78" i="11" s="1"/>
  <c r="K79" i="11"/>
  <c r="D80" i="11"/>
  <c r="Z79" i="11"/>
  <c r="AA79" i="11"/>
  <c r="AB79" i="11" s="1"/>
  <c r="G79" i="11"/>
  <c r="M79" i="11" s="1"/>
  <c r="H79" i="11"/>
  <c r="N79" i="11" s="1"/>
  <c r="E79" i="11"/>
  <c r="I78" i="11"/>
  <c r="O78" i="11" s="1"/>
  <c r="AV76" i="11" l="1"/>
  <c r="AQ76" i="11"/>
  <c r="AV77" i="11"/>
  <c r="AQ77" i="11"/>
  <c r="T77" i="11"/>
  <c r="AL77" i="11"/>
  <c r="AL76" i="11"/>
  <c r="S76" i="11"/>
  <c r="AU76" i="11"/>
  <c r="AP76" i="11"/>
  <c r="AK76" i="11"/>
  <c r="Q77" i="11"/>
  <c r="AH77" i="11" s="1"/>
  <c r="AI77" i="11" s="1"/>
  <c r="U77" i="11"/>
  <c r="V77" i="11" s="1"/>
  <c r="W77" i="11" s="1"/>
  <c r="J79" i="11"/>
  <c r="P79" i="11" s="1"/>
  <c r="Z80" i="11"/>
  <c r="D81" i="11"/>
  <c r="AA80" i="11"/>
  <c r="AB80" i="11" s="1"/>
  <c r="H80" i="11"/>
  <c r="N80" i="11" s="1"/>
  <c r="E80" i="11"/>
  <c r="G80" i="11"/>
  <c r="M80" i="11" s="1"/>
  <c r="K80" i="11"/>
  <c r="I79" i="11"/>
  <c r="O79" i="11" s="1"/>
  <c r="T76" i="11"/>
  <c r="AH76" i="11"/>
  <c r="AI76" i="11" s="1"/>
  <c r="AW76" i="11" l="1"/>
  <c r="AX76" i="11" s="1"/>
  <c r="AR76" i="11"/>
  <c r="AS76" i="11" s="1"/>
  <c r="AM76" i="11"/>
  <c r="AN76" i="11" s="1"/>
  <c r="S77" i="11"/>
  <c r="AK77" i="11"/>
  <c r="AM77" i="11" s="1"/>
  <c r="AN77" i="11" s="1"/>
  <c r="AP77" i="11"/>
  <c r="AR77" i="11" s="1"/>
  <c r="AS77" i="11" s="1"/>
  <c r="AU77" i="11"/>
  <c r="AW77" i="11" s="1"/>
  <c r="AX77" i="11" s="1"/>
  <c r="Q78" i="11"/>
  <c r="R79" i="11"/>
  <c r="R78" i="11"/>
  <c r="U78" i="11"/>
  <c r="V78" i="11" s="1"/>
  <c r="W78" i="11" s="1"/>
  <c r="I80" i="11"/>
  <c r="O80" i="11" s="1"/>
  <c r="J80" i="11"/>
  <c r="P80" i="11" s="1"/>
  <c r="AA81" i="11"/>
  <c r="AB81" i="11" s="1"/>
  <c r="H81" i="11"/>
  <c r="N81" i="11" s="1"/>
  <c r="K81" i="11"/>
  <c r="E81" i="11"/>
  <c r="Z81" i="11"/>
  <c r="D82" i="11"/>
  <c r="G81" i="11"/>
  <c r="M81" i="11" s="1"/>
  <c r="AV78" i="11" l="1"/>
  <c r="AQ78" i="11"/>
  <c r="AV79" i="11"/>
  <c r="AQ79" i="11"/>
  <c r="AL78" i="11"/>
  <c r="T79" i="11"/>
  <c r="AL79" i="11"/>
  <c r="S78" i="11"/>
  <c r="AK78" i="11"/>
  <c r="AU78" i="11"/>
  <c r="AP78" i="11"/>
  <c r="AR78" i="11" s="1"/>
  <c r="AS78" i="11" s="1"/>
  <c r="R80" i="11"/>
  <c r="Q79" i="11"/>
  <c r="U79" i="11"/>
  <c r="V79" i="11" s="1"/>
  <c r="W79" i="11" s="1"/>
  <c r="D83" i="11"/>
  <c r="H82" i="11"/>
  <c r="N82" i="11" s="1"/>
  <c r="E82" i="11"/>
  <c r="Z82" i="11"/>
  <c r="K82" i="11"/>
  <c r="G82" i="11"/>
  <c r="M82" i="11" s="1"/>
  <c r="AA82" i="11"/>
  <c r="AB82" i="11" s="1"/>
  <c r="J81" i="11"/>
  <c r="P81" i="11" s="1"/>
  <c r="I81" i="11"/>
  <c r="O81" i="11" s="1"/>
  <c r="T78" i="11"/>
  <c r="AH78" i="11"/>
  <c r="AI78" i="11" s="1"/>
  <c r="AW78" i="11" l="1"/>
  <c r="AX78" i="11" s="1"/>
  <c r="AV80" i="11"/>
  <c r="AQ80" i="11"/>
  <c r="AM78" i="11"/>
  <c r="AN78" i="11" s="1"/>
  <c r="T80" i="11"/>
  <c r="AL80" i="11"/>
  <c r="AP79" i="11"/>
  <c r="AR79" i="11" s="1"/>
  <c r="AS79" i="11" s="1"/>
  <c r="AU79" i="11"/>
  <c r="AW79" i="11" s="1"/>
  <c r="AX79" i="11" s="1"/>
  <c r="AK79" i="11"/>
  <c r="AM79" i="11" s="1"/>
  <c r="AN79" i="11" s="1"/>
  <c r="Q80" i="11"/>
  <c r="AH80" i="11" s="1"/>
  <c r="AI80" i="11" s="1"/>
  <c r="U80" i="11"/>
  <c r="V80" i="11" s="1"/>
  <c r="W80" i="11" s="1"/>
  <c r="R81" i="11"/>
  <c r="S79" i="11"/>
  <c r="AH79" i="11"/>
  <c r="AI79" i="11" s="1"/>
  <c r="I82" i="11"/>
  <c r="O82" i="11" s="1"/>
  <c r="J82" i="11"/>
  <c r="P82" i="11" s="1"/>
  <c r="H83" i="11"/>
  <c r="N83" i="11" s="1"/>
  <c r="E83" i="11"/>
  <c r="D84" i="11"/>
  <c r="Z83" i="11"/>
  <c r="AA83" i="11"/>
  <c r="AB83" i="11" s="1"/>
  <c r="G83" i="11"/>
  <c r="M83" i="11" s="1"/>
  <c r="K83" i="11"/>
  <c r="AV81" i="11" l="1"/>
  <c r="AQ81" i="11"/>
  <c r="T81" i="11"/>
  <c r="AL81" i="11"/>
  <c r="AU80" i="11"/>
  <c r="AW80" i="11" s="1"/>
  <c r="AX80" i="11" s="1"/>
  <c r="AP80" i="11"/>
  <c r="AR80" i="11" s="1"/>
  <c r="AS80" i="11" s="1"/>
  <c r="AK80" i="11"/>
  <c r="AM80" i="11" s="1"/>
  <c r="AN80" i="11" s="1"/>
  <c r="S80" i="11"/>
  <c r="Q81" i="11"/>
  <c r="AH81" i="11" s="1"/>
  <c r="AI81" i="11" s="1"/>
  <c r="U81" i="11"/>
  <c r="V81" i="11" s="1"/>
  <c r="W81" i="11" s="1"/>
  <c r="Z84" i="11"/>
  <c r="G84" i="11"/>
  <c r="M84" i="11" s="1"/>
  <c r="D85" i="11"/>
  <c r="H84" i="11"/>
  <c r="N84" i="11" s="1"/>
  <c r="K84" i="11"/>
  <c r="E84" i="11"/>
  <c r="AA84" i="11"/>
  <c r="AB84" i="11" s="1"/>
  <c r="J83" i="11"/>
  <c r="P83" i="11" s="1"/>
  <c r="R82" i="11"/>
  <c r="I83" i="11"/>
  <c r="O83" i="11" s="1"/>
  <c r="AV82" i="11" l="1"/>
  <c r="AQ82" i="11"/>
  <c r="T82" i="11"/>
  <c r="AL82" i="11"/>
  <c r="S81" i="11"/>
  <c r="AU81" i="11"/>
  <c r="AW81" i="11" s="1"/>
  <c r="AX81" i="11" s="1"/>
  <c r="AP81" i="11"/>
  <c r="AR81" i="11" s="1"/>
  <c r="AS81" i="11" s="1"/>
  <c r="AK81" i="11"/>
  <c r="AM81" i="11" s="1"/>
  <c r="AN81" i="11" s="1"/>
  <c r="R83" i="11"/>
  <c r="J84" i="11"/>
  <c r="P84" i="11" s="1"/>
  <c r="I84" i="11"/>
  <c r="O84" i="11" s="1"/>
  <c r="Q82" i="11"/>
  <c r="U82" i="11"/>
  <c r="V82" i="11" s="1"/>
  <c r="W82" i="11" s="1"/>
  <c r="H85" i="11"/>
  <c r="N85" i="11" s="1"/>
  <c r="E85" i="11"/>
  <c r="D86" i="11"/>
  <c r="G85" i="11"/>
  <c r="M85" i="11" s="1"/>
  <c r="AA85" i="11"/>
  <c r="AB85" i="11" s="1"/>
  <c r="Z85" i="11"/>
  <c r="K85" i="11"/>
  <c r="AQ83" i="11" l="1"/>
  <c r="AV83" i="11"/>
  <c r="T83" i="11"/>
  <c r="AL83" i="11"/>
  <c r="AU82" i="11"/>
  <c r="AW82" i="11" s="1"/>
  <c r="AX82" i="11" s="1"/>
  <c r="AP82" i="11"/>
  <c r="AR82" i="11" s="1"/>
  <c r="AS82" i="11" s="1"/>
  <c r="AK82" i="11"/>
  <c r="AM82" i="11" s="1"/>
  <c r="AN82" i="11" s="1"/>
  <c r="Q83" i="11"/>
  <c r="AH83" i="11" s="1"/>
  <c r="AI83" i="11" s="1"/>
  <c r="R84" i="11"/>
  <c r="I85" i="11"/>
  <c r="O85" i="11" s="1"/>
  <c r="H86" i="11"/>
  <c r="N86" i="11" s="1"/>
  <c r="G86" i="11"/>
  <c r="M86" i="11" s="1"/>
  <c r="Z86" i="11"/>
  <c r="K86" i="11"/>
  <c r="AA86" i="11"/>
  <c r="AB86" i="11" s="1"/>
  <c r="E86" i="11"/>
  <c r="D87" i="11"/>
  <c r="J85" i="11"/>
  <c r="P85" i="11" s="1"/>
  <c r="AH82" i="11"/>
  <c r="AI82" i="11" s="1"/>
  <c r="S82" i="11"/>
  <c r="U83" i="11"/>
  <c r="V83" i="11" s="1"/>
  <c r="W83" i="11" s="1"/>
  <c r="AV84" i="11" l="1"/>
  <c r="AQ84" i="11"/>
  <c r="T84" i="11"/>
  <c r="AL84" i="11"/>
  <c r="S83" i="11"/>
  <c r="AU83" i="11"/>
  <c r="AW83" i="11" s="1"/>
  <c r="AX83" i="11" s="1"/>
  <c r="AK83" i="11"/>
  <c r="AM83" i="11" s="1"/>
  <c r="AN83" i="11" s="1"/>
  <c r="AP83" i="11"/>
  <c r="AR83" i="11" s="1"/>
  <c r="AS83" i="11" s="1"/>
  <c r="R85" i="11"/>
  <c r="U84" i="11"/>
  <c r="V84" i="11" s="1"/>
  <c r="W84" i="11" s="1"/>
  <c r="Q84" i="11"/>
  <c r="I86" i="11"/>
  <c r="O86" i="11" s="1"/>
  <c r="H87" i="11"/>
  <c r="N87" i="11" s="1"/>
  <c r="K87" i="11"/>
  <c r="AA87" i="11"/>
  <c r="AB87" i="11" s="1"/>
  <c r="G87" i="11"/>
  <c r="M87" i="11" s="1"/>
  <c r="E87" i="11"/>
  <c r="D88" i="11"/>
  <c r="Z87" i="11"/>
  <c r="J86" i="11"/>
  <c r="P86" i="11" s="1"/>
  <c r="AV85" i="11" l="1"/>
  <c r="AQ85" i="11"/>
  <c r="T85" i="11"/>
  <c r="AL85" i="11"/>
  <c r="AK84" i="11"/>
  <c r="AM84" i="11" s="1"/>
  <c r="AN84" i="11" s="1"/>
  <c r="AU84" i="11"/>
  <c r="AW84" i="11" s="1"/>
  <c r="AX84" i="11" s="1"/>
  <c r="AP84" i="11"/>
  <c r="AR84" i="11" s="1"/>
  <c r="AS84" i="11" s="1"/>
  <c r="Q85" i="11"/>
  <c r="AH85" i="11" s="1"/>
  <c r="AI85" i="11" s="1"/>
  <c r="AH84" i="11"/>
  <c r="AI84" i="11" s="1"/>
  <c r="S84" i="11"/>
  <c r="U85" i="11"/>
  <c r="V85" i="11" s="1"/>
  <c r="W85" i="11" s="1"/>
  <c r="J87" i="11"/>
  <c r="P87" i="11" s="1"/>
  <c r="R86" i="11"/>
  <c r="K88" i="11"/>
  <c r="D89" i="11"/>
  <c r="H88" i="11"/>
  <c r="N88" i="11" s="1"/>
  <c r="AA88" i="11"/>
  <c r="AB88" i="11" s="1"/>
  <c r="G88" i="11"/>
  <c r="M88" i="11" s="1"/>
  <c r="E88" i="11"/>
  <c r="Z88" i="11"/>
  <c r="I87" i="11"/>
  <c r="O87" i="11" s="1"/>
  <c r="AQ86" i="11" l="1"/>
  <c r="AV86" i="11"/>
  <c r="T86" i="11"/>
  <c r="AL86" i="11"/>
  <c r="S85" i="11"/>
  <c r="AP85" i="11"/>
  <c r="AR85" i="11" s="1"/>
  <c r="AS85" i="11" s="1"/>
  <c r="AU85" i="11"/>
  <c r="AW85" i="11" s="1"/>
  <c r="AX85" i="11" s="1"/>
  <c r="AK85" i="11"/>
  <c r="AM85" i="11" s="1"/>
  <c r="AN85" i="11" s="1"/>
  <c r="K89" i="11"/>
  <c r="G89" i="11"/>
  <c r="M89" i="11" s="1"/>
  <c r="AA89" i="11"/>
  <c r="AB89" i="11" s="1"/>
  <c r="D90" i="11"/>
  <c r="H89" i="11"/>
  <c r="N89" i="11" s="1"/>
  <c r="E89" i="11"/>
  <c r="Z89" i="11"/>
  <c r="I88" i="11"/>
  <c r="O88" i="11" s="1"/>
  <c r="J88" i="11"/>
  <c r="P88" i="11" s="1"/>
  <c r="U86" i="11"/>
  <c r="V86" i="11" s="1"/>
  <c r="W86" i="11" s="1"/>
  <c r="Q86" i="11"/>
  <c r="R87" i="11"/>
  <c r="AV87" i="11" l="1"/>
  <c r="AQ87" i="11"/>
  <c r="T87" i="11"/>
  <c r="AL87" i="11"/>
  <c r="AU86" i="11"/>
  <c r="AW86" i="11" s="1"/>
  <c r="AX86" i="11" s="1"/>
  <c r="AP86" i="11"/>
  <c r="AR86" i="11" s="1"/>
  <c r="AS86" i="11" s="1"/>
  <c r="AK86" i="11"/>
  <c r="AM86" i="11" s="1"/>
  <c r="AN86" i="11" s="1"/>
  <c r="AH86" i="11"/>
  <c r="AI86" i="11" s="1"/>
  <c r="S86" i="11"/>
  <c r="J89" i="11"/>
  <c r="P89" i="11" s="1"/>
  <c r="R88" i="11"/>
  <c r="E90" i="11"/>
  <c r="D91" i="11"/>
  <c r="K90" i="11"/>
  <c r="G90" i="11"/>
  <c r="M90" i="11" s="1"/>
  <c r="Z90" i="11"/>
  <c r="AA90" i="11"/>
  <c r="AB90" i="11" s="1"/>
  <c r="H90" i="11"/>
  <c r="N90" i="11" s="1"/>
  <c r="I89" i="11"/>
  <c r="O89" i="11" s="1"/>
  <c r="Q87" i="11"/>
  <c r="U87" i="11"/>
  <c r="V87" i="11" s="1"/>
  <c r="W87" i="11" s="1"/>
  <c r="AV88" i="11" l="1"/>
  <c r="AQ88" i="11"/>
  <c r="T88" i="11"/>
  <c r="AL88" i="11"/>
  <c r="AU87" i="11"/>
  <c r="AW87" i="11" s="1"/>
  <c r="AX87" i="11" s="1"/>
  <c r="AP87" i="11"/>
  <c r="AR87" i="11" s="1"/>
  <c r="AS87" i="11" s="1"/>
  <c r="AK87" i="11"/>
  <c r="AM87" i="11" s="1"/>
  <c r="AN87" i="11" s="1"/>
  <c r="Q88" i="11"/>
  <c r="AH88" i="11" s="1"/>
  <c r="AI88" i="11" s="1"/>
  <c r="R89" i="11"/>
  <c r="J90" i="11"/>
  <c r="P90" i="11" s="1"/>
  <c r="S87" i="11"/>
  <c r="AH87" i="11"/>
  <c r="AI87" i="11" s="1"/>
  <c r="I90" i="11"/>
  <c r="O90" i="11" s="1"/>
  <c r="D92" i="11"/>
  <c r="G91" i="11"/>
  <c r="M91" i="11" s="1"/>
  <c r="H91" i="11"/>
  <c r="N91" i="11" s="1"/>
  <c r="K91" i="11"/>
  <c r="Z91" i="11"/>
  <c r="E91" i="11"/>
  <c r="AA91" i="11"/>
  <c r="AB91" i="11" s="1"/>
  <c r="U88" i="11"/>
  <c r="V88" i="11" s="1"/>
  <c r="W88" i="11" s="1"/>
  <c r="AV89" i="11" l="1"/>
  <c r="AQ89" i="11"/>
  <c r="S88" i="11"/>
  <c r="T89" i="11"/>
  <c r="AL89" i="11"/>
  <c r="AP88" i="11"/>
  <c r="AR88" i="11" s="1"/>
  <c r="AS88" i="11" s="1"/>
  <c r="AK88" i="11"/>
  <c r="AM88" i="11" s="1"/>
  <c r="AN88" i="11" s="1"/>
  <c r="AU88" i="11"/>
  <c r="AW88" i="11" s="1"/>
  <c r="AX88" i="11" s="1"/>
  <c r="Q89" i="11"/>
  <c r="AH89" i="11" s="1"/>
  <c r="AI89" i="11" s="1"/>
  <c r="U89" i="11"/>
  <c r="V89" i="11" s="1"/>
  <c r="W89" i="11" s="1"/>
  <c r="R90" i="11"/>
  <c r="I91" i="11"/>
  <c r="O91" i="11" s="1"/>
  <c r="J91" i="11"/>
  <c r="P91" i="11" s="1"/>
  <c r="H92" i="11"/>
  <c r="N92" i="11" s="1"/>
  <c r="K92" i="11"/>
  <c r="E92" i="11"/>
  <c r="AA92" i="11"/>
  <c r="AB92" i="11" s="1"/>
  <c r="G92" i="11"/>
  <c r="M92" i="11" s="1"/>
  <c r="D93" i="11"/>
  <c r="Z92" i="11"/>
  <c r="AQ90" i="11" l="1"/>
  <c r="AV90" i="11"/>
  <c r="S89" i="11"/>
  <c r="T90" i="11"/>
  <c r="AL90" i="11"/>
  <c r="AU89" i="11"/>
  <c r="AW89" i="11" s="1"/>
  <c r="AX89" i="11" s="1"/>
  <c r="AP89" i="11"/>
  <c r="AR89" i="11" s="1"/>
  <c r="AS89" i="11" s="1"/>
  <c r="AK89" i="11"/>
  <c r="AM89" i="11" s="1"/>
  <c r="AN89" i="11" s="1"/>
  <c r="U90" i="11"/>
  <c r="V90" i="11" s="1"/>
  <c r="W90" i="11" s="1"/>
  <c r="Q90" i="11"/>
  <c r="H93" i="11"/>
  <c r="N93" i="11" s="1"/>
  <c r="Z93" i="11"/>
  <c r="E93" i="11"/>
  <c r="K93" i="11"/>
  <c r="D94" i="11"/>
  <c r="AA93" i="11"/>
  <c r="AB93" i="11" s="1"/>
  <c r="G93" i="11"/>
  <c r="M93" i="11" s="1"/>
  <c r="I92" i="11"/>
  <c r="O92" i="11" s="1"/>
  <c r="J92" i="11"/>
  <c r="P92" i="11" s="1"/>
  <c r="R91" i="11"/>
  <c r="AV91" i="11" l="1"/>
  <c r="AQ91" i="11"/>
  <c r="T91" i="11"/>
  <c r="AL91" i="11"/>
  <c r="AK90" i="11"/>
  <c r="AM90" i="11" s="1"/>
  <c r="AN90" i="11" s="1"/>
  <c r="AU90" i="11"/>
  <c r="AW90" i="11" s="1"/>
  <c r="AX90" i="11" s="1"/>
  <c r="AP90" i="11"/>
  <c r="AR90" i="11" s="1"/>
  <c r="AS90" i="11" s="1"/>
  <c r="R92" i="11"/>
  <c r="AH90" i="11"/>
  <c r="AI90" i="11" s="1"/>
  <c r="S90" i="11"/>
  <c r="Q91" i="11"/>
  <c r="U91" i="11"/>
  <c r="V91" i="11" s="1"/>
  <c r="W91" i="11" s="1"/>
  <c r="I93" i="11"/>
  <c r="O93" i="11" s="1"/>
  <c r="E94" i="11"/>
  <c r="K94" i="11"/>
  <c r="Z94" i="11"/>
  <c r="AA94" i="11"/>
  <c r="AB94" i="11" s="1"/>
  <c r="H94" i="11"/>
  <c r="N94" i="11" s="1"/>
  <c r="D95" i="11"/>
  <c r="G94" i="11"/>
  <c r="M94" i="11" s="1"/>
  <c r="J93" i="11"/>
  <c r="P93" i="11" s="1"/>
  <c r="AV92" i="11" l="1"/>
  <c r="AQ92" i="11"/>
  <c r="T92" i="11"/>
  <c r="AL92" i="11"/>
  <c r="AP91" i="11"/>
  <c r="AR91" i="11" s="1"/>
  <c r="AS91" i="11" s="1"/>
  <c r="AU91" i="11"/>
  <c r="AW91" i="11" s="1"/>
  <c r="AX91" i="11" s="1"/>
  <c r="AK91" i="11"/>
  <c r="AM91" i="11" s="1"/>
  <c r="AN91" i="11" s="1"/>
  <c r="R93" i="11"/>
  <c r="I94" i="11"/>
  <c r="O94" i="11" s="1"/>
  <c r="J94" i="11"/>
  <c r="P94" i="11" s="1"/>
  <c r="E95" i="11"/>
  <c r="AA95" i="11"/>
  <c r="AB95" i="11" s="1"/>
  <c r="H95" i="11"/>
  <c r="N95" i="11" s="1"/>
  <c r="G95" i="11"/>
  <c r="M95" i="11" s="1"/>
  <c r="Z95" i="11"/>
  <c r="D96" i="11"/>
  <c r="K95" i="11"/>
  <c r="Q92" i="11"/>
  <c r="U92" i="11"/>
  <c r="V92" i="11" s="1"/>
  <c r="W92" i="11" s="1"/>
  <c r="S91" i="11"/>
  <c r="AH91" i="11"/>
  <c r="AI91" i="11" s="1"/>
  <c r="AV93" i="11" l="1"/>
  <c r="AQ93" i="11"/>
  <c r="T93" i="11"/>
  <c r="AL93" i="11"/>
  <c r="AU92" i="11"/>
  <c r="AW92" i="11" s="1"/>
  <c r="AX92" i="11" s="1"/>
  <c r="AP92" i="11"/>
  <c r="AR92" i="11" s="1"/>
  <c r="AS92" i="11" s="1"/>
  <c r="AK92" i="11"/>
  <c r="AM92" i="11" s="1"/>
  <c r="AN92" i="11" s="1"/>
  <c r="J95" i="11"/>
  <c r="P95" i="11" s="1"/>
  <c r="R94" i="11"/>
  <c r="AH92" i="11"/>
  <c r="AI92" i="11" s="1"/>
  <c r="S92" i="11"/>
  <c r="AA96" i="11"/>
  <c r="AB96" i="11" s="1"/>
  <c r="H96" i="11"/>
  <c r="N96" i="11" s="1"/>
  <c r="E96" i="11"/>
  <c r="G96" i="11"/>
  <c r="M96" i="11" s="1"/>
  <c r="Z96" i="11"/>
  <c r="D97" i="11"/>
  <c r="K96" i="11"/>
  <c r="I95" i="11"/>
  <c r="O95" i="11" s="1"/>
  <c r="Q93" i="11"/>
  <c r="U93" i="11"/>
  <c r="V93" i="11" s="1"/>
  <c r="W93" i="11" s="1"/>
  <c r="AV94" i="11" l="1"/>
  <c r="AQ94" i="11"/>
  <c r="T94" i="11"/>
  <c r="AL94" i="11"/>
  <c r="AP93" i="11"/>
  <c r="AR93" i="11" s="1"/>
  <c r="AS93" i="11" s="1"/>
  <c r="AU93" i="11"/>
  <c r="AW93" i="11" s="1"/>
  <c r="AX93" i="11" s="1"/>
  <c r="AK93" i="11"/>
  <c r="AM93" i="11" s="1"/>
  <c r="AN93" i="11" s="1"/>
  <c r="U94" i="11"/>
  <c r="V94" i="11" s="1"/>
  <c r="W94" i="11" s="1"/>
  <c r="Q94" i="11"/>
  <c r="S94" i="11" s="1"/>
  <c r="R95" i="11"/>
  <c r="AH93" i="11"/>
  <c r="AI93" i="11" s="1"/>
  <c r="S93" i="11"/>
  <c r="Z97" i="11"/>
  <c r="D98" i="11"/>
  <c r="E97" i="11"/>
  <c r="K97" i="11"/>
  <c r="H97" i="11"/>
  <c r="N97" i="11" s="1"/>
  <c r="AA97" i="11"/>
  <c r="AB97" i="11" s="1"/>
  <c r="G97" i="11"/>
  <c r="M97" i="11" s="1"/>
  <c r="I96" i="11"/>
  <c r="O96" i="11" s="1"/>
  <c r="J96" i="11"/>
  <c r="P96" i="11" s="1"/>
  <c r="AQ95" i="11" l="1"/>
  <c r="AV95" i="11"/>
  <c r="T95" i="11"/>
  <c r="AL95" i="11"/>
  <c r="AH94" i="11"/>
  <c r="AI94" i="11" s="1"/>
  <c r="AK94" i="11"/>
  <c r="AM94" i="11" s="1"/>
  <c r="AN94" i="11" s="1"/>
  <c r="AP94" i="11"/>
  <c r="AR94" i="11" s="1"/>
  <c r="AS94" i="11" s="1"/>
  <c r="AU94" i="11"/>
  <c r="AW94" i="11" s="1"/>
  <c r="AX94" i="11" s="1"/>
  <c r="Q95" i="11"/>
  <c r="AH95" i="11" s="1"/>
  <c r="AI95" i="11" s="1"/>
  <c r="R96" i="11"/>
  <c r="I97" i="11"/>
  <c r="O97" i="11" s="1"/>
  <c r="J97" i="11"/>
  <c r="P97" i="11" s="1"/>
  <c r="Z98" i="11"/>
  <c r="E98" i="11"/>
  <c r="G98" i="11"/>
  <c r="M98" i="11" s="1"/>
  <c r="AA98" i="11"/>
  <c r="AB98" i="11" s="1"/>
  <c r="D99" i="11"/>
  <c r="K98" i="11"/>
  <c r="H98" i="11"/>
  <c r="N98" i="11" s="1"/>
  <c r="U95" i="11"/>
  <c r="V95" i="11" s="1"/>
  <c r="W95" i="11" s="1"/>
  <c r="AV96" i="11" l="1"/>
  <c r="AQ96" i="11"/>
  <c r="T96" i="11"/>
  <c r="AL96" i="11"/>
  <c r="AU95" i="11"/>
  <c r="AW95" i="11" s="1"/>
  <c r="AX95" i="11" s="1"/>
  <c r="AP95" i="11"/>
  <c r="AR95" i="11" s="1"/>
  <c r="AS95" i="11" s="1"/>
  <c r="AK95" i="11"/>
  <c r="AM95" i="11" s="1"/>
  <c r="AN95" i="11" s="1"/>
  <c r="S95" i="11"/>
  <c r="Q96" i="11"/>
  <c r="S96" i="11" s="1"/>
  <c r="R97" i="11"/>
  <c r="U96" i="11"/>
  <c r="V96" i="11" s="1"/>
  <c r="W96" i="11" s="1"/>
  <c r="J98" i="11"/>
  <c r="P98" i="11" s="1"/>
  <c r="K99" i="11"/>
  <c r="E99" i="11"/>
  <c r="Z99" i="11"/>
  <c r="AA99" i="11"/>
  <c r="AB99" i="11" s="1"/>
  <c r="G99" i="11"/>
  <c r="M99" i="11" s="1"/>
  <c r="D100" i="11"/>
  <c r="H99" i="11"/>
  <c r="N99" i="11" s="1"/>
  <c r="I98" i="11"/>
  <c r="O98" i="11" s="1"/>
  <c r="AV97" i="11" l="1"/>
  <c r="AQ97" i="11"/>
  <c r="U97" i="11"/>
  <c r="V97" i="11" s="1"/>
  <c r="W97" i="11" s="1"/>
  <c r="T97" i="11"/>
  <c r="AL97" i="11"/>
  <c r="Q97" i="11"/>
  <c r="AK97" i="11" s="1"/>
  <c r="AH96" i="11"/>
  <c r="AI96" i="11" s="1"/>
  <c r="AK96" i="11"/>
  <c r="AM96" i="11" s="1"/>
  <c r="AN96" i="11" s="1"/>
  <c r="AU96" i="11"/>
  <c r="AW96" i="11" s="1"/>
  <c r="AX96" i="11" s="1"/>
  <c r="AP96" i="11"/>
  <c r="AR96" i="11" s="1"/>
  <c r="AS96" i="11" s="1"/>
  <c r="AP97" i="11"/>
  <c r="AR97" i="11" s="1"/>
  <c r="AS97" i="11" s="1"/>
  <c r="AA100" i="11"/>
  <c r="AB100" i="11" s="1"/>
  <c r="K100" i="11"/>
  <c r="G100" i="11"/>
  <c r="M100" i="11" s="1"/>
  <c r="H100" i="11"/>
  <c r="N100" i="11" s="1"/>
  <c r="D101" i="11"/>
  <c r="Z100" i="11"/>
  <c r="E100" i="11"/>
  <c r="J99" i="11"/>
  <c r="P99" i="11" s="1"/>
  <c r="I99" i="11"/>
  <c r="O99" i="11" s="1"/>
  <c r="AH97" i="11" l="1"/>
  <c r="AI97" i="11" s="1"/>
  <c r="AU97" i="11"/>
  <c r="AW97" i="11" s="1"/>
  <c r="AX97" i="11" s="1"/>
  <c r="AM97" i="11"/>
  <c r="AN97" i="11" s="1"/>
  <c r="S97" i="11"/>
  <c r="Q98" i="11"/>
  <c r="R99" i="11"/>
  <c r="R98" i="11"/>
  <c r="U98" i="11"/>
  <c r="V98" i="11" s="1"/>
  <c r="W98" i="11" s="1"/>
  <c r="J100" i="11"/>
  <c r="P100" i="11" s="1"/>
  <c r="AA101" i="11"/>
  <c r="AB101" i="11" s="1"/>
  <c r="G101" i="11"/>
  <c r="M101" i="11" s="1"/>
  <c r="H101" i="11"/>
  <c r="N101" i="11" s="1"/>
  <c r="E101" i="11"/>
  <c r="Z101" i="11"/>
  <c r="D102" i="11"/>
  <c r="K101" i="11"/>
  <c r="I100" i="11"/>
  <c r="O100" i="11" s="1"/>
  <c r="AQ98" i="11" l="1"/>
  <c r="AV98" i="11"/>
  <c r="AV99" i="11"/>
  <c r="AQ99" i="11"/>
  <c r="T99" i="11"/>
  <c r="AL99" i="11"/>
  <c r="AL98" i="11"/>
  <c r="S98" i="11"/>
  <c r="AU98" i="11"/>
  <c r="AW98" i="11" s="1"/>
  <c r="AX98" i="11" s="1"/>
  <c r="AP98" i="11"/>
  <c r="AK98" i="11"/>
  <c r="J101" i="11"/>
  <c r="P101" i="11" s="1"/>
  <c r="R100" i="11"/>
  <c r="E102" i="11"/>
  <c r="Z102" i="11"/>
  <c r="G102" i="11"/>
  <c r="M102" i="11" s="1"/>
  <c r="H102" i="11"/>
  <c r="N102" i="11" s="1"/>
  <c r="D103" i="11"/>
  <c r="AA102" i="11"/>
  <c r="AB102" i="11" s="1"/>
  <c r="K102" i="11"/>
  <c r="I101" i="11"/>
  <c r="O101" i="11" s="1"/>
  <c r="Q99" i="11"/>
  <c r="U99" i="11"/>
  <c r="V99" i="11" s="1"/>
  <c r="W99" i="11" s="1"/>
  <c r="T98" i="11"/>
  <c r="AH98" i="11"/>
  <c r="AI98" i="11" s="1"/>
  <c r="AM98" i="11" l="1"/>
  <c r="AN98" i="11" s="1"/>
  <c r="AV100" i="11"/>
  <c r="AQ100" i="11"/>
  <c r="AR98" i="11"/>
  <c r="AS98" i="11" s="1"/>
  <c r="T100" i="11"/>
  <c r="AL100" i="11"/>
  <c r="AU99" i="11"/>
  <c r="AW99" i="11" s="1"/>
  <c r="AX99" i="11" s="1"/>
  <c r="AK99" i="11"/>
  <c r="AM99" i="11" s="1"/>
  <c r="AN99" i="11" s="1"/>
  <c r="AP99" i="11"/>
  <c r="AR99" i="11" s="1"/>
  <c r="AS99" i="11" s="1"/>
  <c r="R101" i="11"/>
  <c r="S99" i="11"/>
  <c r="AH99" i="11"/>
  <c r="AI99" i="11" s="1"/>
  <c r="J102" i="11"/>
  <c r="P102" i="11" s="1"/>
  <c r="U100" i="11"/>
  <c r="V100" i="11" s="1"/>
  <c r="W100" i="11" s="1"/>
  <c r="Q100" i="11"/>
  <c r="H103" i="11"/>
  <c r="N103" i="11" s="1"/>
  <c r="G103" i="11"/>
  <c r="M103" i="11" s="1"/>
  <c r="E103" i="11"/>
  <c r="Z103" i="11"/>
  <c r="AA103" i="11"/>
  <c r="AB103" i="11" s="1"/>
  <c r="D104" i="11"/>
  <c r="K103" i="11"/>
  <c r="I102" i="11"/>
  <c r="O102" i="11" s="1"/>
  <c r="AV101" i="11" l="1"/>
  <c r="AQ101" i="11"/>
  <c r="T101" i="11"/>
  <c r="AL101" i="11"/>
  <c r="AP100" i="11"/>
  <c r="AR100" i="11" s="1"/>
  <c r="AS100" i="11" s="1"/>
  <c r="AU100" i="11"/>
  <c r="AW100" i="11" s="1"/>
  <c r="AX100" i="11" s="1"/>
  <c r="AK100" i="11"/>
  <c r="AM100" i="11" s="1"/>
  <c r="AN100" i="11" s="1"/>
  <c r="R102" i="11"/>
  <c r="J103" i="11"/>
  <c r="P103" i="11" s="1"/>
  <c r="G104" i="11"/>
  <c r="M104" i="11" s="1"/>
  <c r="E104" i="11"/>
  <c r="AA104" i="11"/>
  <c r="AB104" i="11" s="1"/>
  <c r="D105" i="11"/>
  <c r="H104" i="11"/>
  <c r="N104" i="11" s="1"/>
  <c r="K104" i="11"/>
  <c r="Z104" i="11"/>
  <c r="I103" i="11"/>
  <c r="O103" i="11" s="1"/>
  <c r="AH100" i="11"/>
  <c r="AI100" i="11" s="1"/>
  <c r="S100" i="11"/>
  <c r="Q101" i="11"/>
  <c r="U101" i="11"/>
  <c r="V101" i="11" s="1"/>
  <c r="W101" i="11" s="1"/>
  <c r="AV102" i="11" l="1"/>
  <c r="AQ102" i="11"/>
  <c r="T102" i="11"/>
  <c r="AL102" i="11"/>
  <c r="AU101" i="11"/>
  <c r="AW101" i="11" s="1"/>
  <c r="AX101" i="11" s="1"/>
  <c r="AP101" i="11"/>
  <c r="AR101" i="11" s="1"/>
  <c r="AS101" i="11" s="1"/>
  <c r="AK101" i="11"/>
  <c r="AM101" i="11" s="1"/>
  <c r="AN101" i="11" s="1"/>
  <c r="Q102" i="11"/>
  <c r="U102" i="11"/>
  <c r="V102" i="11" s="1"/>
  <c r="W102" i="11" s="1"/>
  <c r="R103" i="11"/>
  <c r="AH101" i="11"/>
  <c r="AI101" i="11" s="1"/>
  <c r="S101" i="11"/>
  <c r="AA105" i="11"/>
  <c r="AB105" i="11" s="1"/>
  <c r="E105" i="11"/>
  <c r="K105" i="11"/>
  <c r="H105" i="11"/>
  <c r="N105" i="11" s="1"/>
  <c r="G105" i="11"/>
  <c r="M105" i="11" s="1"/>
  <c r="D106" i="11"/>
  <c r="Z105" i="11"/>
  <c r="J104" i="11"/>
  <c r="P104" i="11" s="1"/>
  <c r="I104" i="11"/>
  <c r="O104" i="11" s="1"/>
  <c r="AV103" i="11" l="1"/>
  <c r="AQ103" i="11"/>
  <c r="AL103" i="11"/>
  <c r="S102" i="11"/>
  <c r="AK102" i="11"/>
  <c r="AM102" i="11" s="1"/>
  <c r="AN102" i="11" s="1"/>
  <c r="AU102" i="11"/>
  <c r="AW102" i="11" s="1"/>
  <c r="AX102" i="11" s="1"/>
  <c r="AP102" i="11"/>
  <c r="AR102" i="11" s="1"/>
  <c r="AS102" i="11" s="1"/>
  <c r="AH102" i="11"/>
  <c r="AI102" i="11" s="1"/>
  <c r="Q103" i="11"/>
  <c r="AH103" i="11" s="1"/>
  <c r="AI103" i="11" s="1"/>
  <c r="R104" i="11"/>
  <c r="U103" i="11"/>
  <c r="V103" i="11" s="1"/>
  <c r="W103" i="11" s="1"/>
  <c r="T103" i="11"/>
  <c r="Z106" i="11"/>
  <c r="H106" i="11"/>
  <c r="N106" i="11" s="1"/>
  <c r="G106" i="11"/>
  <c r="M106" i="11" s="1"/>
  <c r="K106" i="11"/>
  <c r="D107" i="11"/>
  <c r="E106" i="11"/>
  <c r="AA106" i="11"/>
  <c r="AB106" i="11" s="1"/>
  <c r="J105" i="11"/>
  <c r="P105" i="11" s="1"/>
  <c r="I105" i="11"/>
  <c r="O105" i="11" s="1"/>
  <c r="AQ104" i="11" l="1"/>
  <c r="AV104" i="11"/>
  <c r="T104" i="11"/>
  <c r="AL104" i="11"/>
  <c r="S103" i="11"/>
  <c r="AP103" i="11"/>
  <c r="AR103" i="11" s="1"/>
  <c r="AS103" i="11" s="1"/>
  <c r="AU103" i="11"/>
  <c r="AW103" i="11" s="1"/>
  <c r="AX103" i="11" s="1"/>
  <c r="AK103" i="11"/>
  <c r="AM103" i="11" s="1"/>
  <c r="AN103" i="11" s="1"/>
  <c r="AA107" i="11"/>
  <c r="AB107" i="11" s="1"/>
  <c r="E107" i="11"/>
  <c r="G107" i="11"/>
  <c r="M107" i="11" s="1"/>
  <c r="H107" i="11"/>
  <c r="N107" i="11" s="1"/>
  <c r="D108" i="11"/>
  <c r="K107" i="11"/>
  <c r="Z107" i="11"/>
  <c r="I106" i="11"/>
  <c r="O106" i="11" s="1"/>
  <c r="J106" i="11"/>
  <c r="P106" i="11" s="1"/>
  <c r="U104" i="11"/>
  <c r="V104" i="11" s="1"/>
  <c r="W104" i="11" s="1"/>
  <c r="Q104" i="11"/>
  <c r="AU104" i="11" l="1"/>
  <c r="AW104" i="11" s="1"/>
  <c r="AX104" i="11" s="1"/>
  <c r="AP104" i="11"/>
  <c r="AR104" i="11" s="1"/>
  <c r="AS104" i="11" s="1"/>
  <c r="AK104" i="11"/>
  <c r="AM104" i="11" s="1"/>
  <c r="AN104" i="11" s="1"/>
  <c r="Q105" i="11"/>
  <c r="R106" i="11"/>
  <c r="AH104" i="11"/>
  <c r="AI104" i="11" s="1"/>
  <c r="S104" i="11"/>
  <c r="R105" i="11"/>
  <c r="U105" i="11"/>
  <c r="V105" i="11" s="1"/>
  <c r="W105" i="11" s="1"/>
  <c r="J107" i="11"/>
  <c r="P107" i="11" s="1"/>
  <c r="Z108" i="11"/>
  <c r="E108" i="11"/>
  <c r="K108" i="11"/>
  <c r="G108" i="11"/>
  <c r="M108" i="11" s="1"/>
  <c r="D109" i="11"/>
  <c r="H108" i="11"/>
  <c r="N108" i="11" s="1"/>
  <c r="AA108" i="11"/>
  <c r="AB108" i="11" s="1"/>
  <c r="I107" i="11"/>
  <c r="O107" i="11" s="1"/>
  <c r="AV105" i="11" l="1"/>
  <c r="AQ105" i="11"/>
  <c r="AV106" i="11"/>
  <c r="AQ106" i="11"/>
  <c r="AL105" i="11"/>
  <c r="T106" i="11"/>
  <c r="AL106" i="11"/>
  <c r="S105" i="11"/>
  <c r="AP105" i="11"/>
  <c r="AR105" i="11" s="1"/>
  <c r="AS105" i="11" s="1"/>
  <c r="AU105" i="11"/>
  <c r="AK105" i="11"/>
  <c r="R107" i="11"/>
  <c r="H109" i="11"/>
  <c r="N109" i="11" s="1"/>
  <c r="AA109" i="11"/>
  <c r="AB109" i="11" s="1"/>
  <c r="E109" i="11"/>
  <c r="Z109" i="11"/>
  <c r="K109" i="11"/>
  <c r="D110" i="11"/>
  <c r="G109" i="11"/>
  <c r="M109" i="11" s="1"/>
  <c r="J108" i="11"/>
  <c r="P108" i="11" s="1"/>
  <c r="I108" i="11"/>
  <c r="O108" i="11" s="1"/>
  <c r="Q106" i="11"/>
  <c r="U106" i="11"/>
  <c r="V106" i="11" s="1"/>
  <c r="W106" i="11" s="1"/>
  <c r="T105" i="11"/>
  <c r="AH105" i="11"/>
  <c r="AI105" i="11" s="1"/>
  <c r="AM105" i="11" l="1"/>
  <c r="AN105" i="11" s="1"/>
  <c r="AQ107" i="11"/>
  <c r="AV107" i="11"/>
  <c r="AW105" i="11"/>
  <c r="AX105" i="11" s="1"/>
  <c r="T107" i="11"/>
  <c r="AL107" i="11"/>
  <c r="AU106" i="11"/>
  <c r="AW106" i="11" s="1"/>
  <c r="AX106" i="11" s="1"/>
  <c r="AK106" i="11"/>
  <c r="AM106" i="11" s="1"/>
  <c r="AN106" i="11" s="1"/>
  <c r="AP106" i="11"/>
  <c r="AR106" i="11" s="1"/>
  <c r="AS106" i="11" s="1"/>
  <c r="R108" i="11"/>
  <c r="I109" i="11"/>
  <c r="O109" i="11" s="1"/>
  <c r="J109" i="11"/>
  <c r="P109" i="11" s="1"/>
  <c r="AH106" i="11"/>
  <c r="AI106" i="11" s="1"/>
  <c r="S106" i="11"/>
  <c r="G110" i="11"/>
  <c r="M110" i="11" s="1"/>
  <c r="E110" i="11"/>
  <c r="Z110" i="11"/>
  <c r="D111" i="11"/>
  <c r="K110" i="11"/>
  <c r="H110" i="11"/>
  <c r="N110" i="11" s="1"/>
  <c r="AA110" i="11"/>
  <c r="AB110" i="11" s="1"/>
  <c r="U107" i="11"/>
  <c r="V107" i="11" s="1"/>
  <c r="W107" i="11" s="1"/>
  <c r="Q107" i="11"/>
  <c r="AV108" i="11" l="1"/>
  <c r="AQ108" i="11"/>
  <c r="T108" i="11"/>
  <c r="AL108" i="11"/>
  <c r="AU107" i="11"/>
  <c r="AW107" i="11" s="1"/>
  <c r="AX107" i="11" s="1"/>
  <c r="AK107" i="11"/>
  <c r="AM107" i="11" s="1"/>
  <c r="AN107" i="11" s="1"/>
  <c r="AP107" i="11"/>
  <c r="AR107" i="11" s="1"/>
  <c r="AS107" i="11" s="1"/>
  <c r="R109" i="11"/>
  <c r="J110" i="11"/>
  <c r="P110" i="11" s="1"/>
  <c r="H111" i="11"/>
  <c r="N111" i="11" s="1"/>
  <c r="K111" i="11"/>
  <c r="Z111" i="11"/>
  <c r="D112" i="11"/>
  <c r="AA111" i="11"/>
  <c r="AB111" i="11" s="1"/>
  <c r="G111" i="11"/>
  <c r="M111" i="11" s="1"/>
  <c r="E111" i="11"/>
  <c r="AH107" i="11"/>
  <c r="AI107" i="11" s="1"/>
  <c r="S107" i="11"/>
  <c r="I110" i="11"/>
  <c r="O110" i="11" s="1"/>
  <c r="Q108" i="11"/>
  <c r="U108" i="11"/>
  <c r="V108" i="11" s="1"/>
  <c r="W108" i="11" s="1"/>
  <c r="AQ109" i="11" l="1"/>
  <c r="AV109" i="11"/>
  <c r="T109" i="11"/>
  <c r="AL109" i="11"/>
  <c r="AK108" i="11"/>
  <c r="AM108" i="11" s="1"/>
  <c r="AN108" i="11" s="1"/>
  <c r="AP108" i="11"/>
  <c r="AR108" i="11" s="1"/>
  <c r="AS108" i="11" s="1"/>
  <c r="AU108" i="11"/>
  <c r="AW108" i="11" s="1"/>
  <c r="AX108" i="11" s="1"/>
  <c r="Q109" i="11"/>
  <c r="AH109" i="11" s="1"/>
  <c r="AI109" i="11" s="1"/>
  <c r="U109" i="11"/>
  <c r="V109" i="11" s="1"/>
  <c r="W109" i="11" s="1"/>
  <c r="S108" i="11"/>
  <c r="AH108" i="11"/>
  <c r="AI108" i="11" s="1"/>
  <c r="I111" i="11"/>
  <c r="O111" i="11" s="1"/>
  <c r="K112" i="11"/>
  <c r="AA112" i="11"/>
  <c r="AB112" i="11" s="1"/>
  <c r="E112" i="11"/>
  <c r="D113" i="11"/>
  <c r="Z112" i="11"/>
  <c r="G112" i="11"/>
  <c r="M112" i="11" s="1"/>
  <c r="H112" i="11"/>
  <c r="N112" i="11" s="1"/>
  <c r="R110" i="11"/>
  <c r="J111" i="11"/>
  <c r="P111" i="11" s="1"/>
  <c r="AQ110" i="11" l="1"/>
  <c r="AV110" i="11"/>
  <c r="T110" i="11"/>
  <c r="AL110" i="11"/>
  <c r="S109" i="11"/>
  <c r="AP109" i="11"/>
  <c r="AR109" i="11" s="1"/>
  <c r="AS109" i="11" s="1"/>
  <c r="AU109" i="11"/>
  <c r="AW109" i="11" s="1"/>
  <c r="AX109" i="11" s="1"/>
  <c r="AK109" i="11"/>
  <c r="AM109" i="11" s="1"/>
  <c r="AN109" i="11" s="1"/>
  <c r="Q110" i="11"/>
  <c r="AH110" i="11" s="1"/>
  <c r="AI110" i="11" s="1"/>
  <c r="U110" i="11"/>
  <c r="V110" i="11" s="1"/>
  <c r="W110" i="11" s="1"/>
  <c r="R111" i="11"/>
  <c r="I112" i="11"/>
  <c r="O112" i="11" s="1"/>
  <c r="G113" i="11"/>
  <c r="M113" i="11" s="1"/>
  <c r="AA113" i="11"/>
  <c r="AB113" i="11" s="1"/>
  <c r="H113" i="11"/>
  <c r="N113" i="11" s="1"/>
  <c r="D114" i="11"/>
  <c r="Z113" i="11"/>
  <c r="E113" i="11"/>
  <c r="K113" i="11"/>
  <c r="J112" i="11"/>
  <c r="P112" i="11" s="1"/>
  <c r="AV111" i="11" l="1"/>
  <c r="AQ111" i="11"/>
  <c r="S110" i="11"/>
  <c r="T111" i="11"/>
  <c r="AL111" i="11"/>
  <c r="AU110" i="11"/>
  <c r="AW110" i="11" s="1"/>
  <c r="AX110" i="11" s="1"/>
  <c r="AK110" i="11"/>
  <c r="AM110" i="11" s="1"/>
  <c r="AN110" i="11" s="1"/>
  <c r="AP110" i="11"/>
  <c r="AR110" i="11" s="1"/>
  <c r="AS110" i="11" s="1"/>
  <c r="J113" i="11"/>
  <c r="P113" i="11" s="1"/>
  <c r="I113" i="11"/>
  <c r="O113" i="11" s="1"/>
  <c r="Q111" i="11"/>
  <c r="U111" i="11"/>
  <c r="V111" i="11" s="1"/>
  <c r="W111" i="11" s="1"/>
  <c r="AA114" i="11"/>
  <c r="AB114" i="11" s="1"/>
  <c r="Z114" i="11"/>
  <c r="E114" i="11"/>
  <c r="H114" i="11"/>
  <c r="N114" i="11" s="1"/>
  <c r="D115" i="11"/>
  <c r="K114" i="11"/>
  <c r="G114" i="11"/>
  <c r="M114" i="11" s="1"/>
  <c r="AU111" i="11" l="1"/>
  <c r="AW111" i="11" s="1"/>
  <c r="AX111" i="11" s="1"/>
  <c r="AP111" i="11"/>
  <c r="AR111" i="11" s="1"/>
  <c r="AS111" i="11" s="1"/>
  <c r="AK111" i="11"/>
  <c r="AM111" i="11" s="1"/>
  <c r="AN111" i="11" s="1"/>
  <c r="Q112" i="11"/>
  <c r="Q113" i="11"/>
  <c r="R113" i="11"/>
  <c r="I114" i="11"/>
  <c r="O114" i="11" s="1"/>
  <c r="Z115" i="11"/>
  <c r="AA115" i="11"/>
  <c r="AB115" i="11" s="1"/>
  <c r="E115" i="11"/>
  <c r="H115" i="11"/>
  <c r="N115" i="11" s="1"/>
  <c r="G115" i="11"/>
  <c r="M115" i="11" s="1"/>
  <c r="D116" i="11"/>
  <c r="K115" i="11"/>
  <c r="S111" i="11"/>
  <c r="AH111" i="11"/>
  <c r="AI111" i="11" s="1"/>
  <c r="J114" i="11"/>
  <c r="P114" i="11" s="1"/>
  <c r="R112" i="11"/>
  <c r="U112" i="11"/>
  <c r="V112" i="11" s="1"/>
  <c r="W112" i="11" s="1"/>
  <c r="AV112" i="11" l="1"/>
  <c r="AQ112" i="11"/>
  <c r="AV113" i="11"/>
  <c r="AQ113" i="11"/>
  <c r="T113" i="11"/>
  <c r="AL113" i="11"/>
  <c r="AL112" i="11"/>
  <c r="AU113" i="11"/>
  <c r="AW113" i="11" s="1"/>
  <c r="AX113" i="11" s="1"/>
  <c r="AK113" i="11"/>
  <c r="AP113" i="11"/>
  <c r="AR113" i="11" s="1"/>
  <c r="AS113" i="11" s="1"/>
  <c r="S112" i="11"/>
  <c r="AU112" i="11"/>
  <c r="AP112" i="11"/>
  <c r="AK112" i="11"/>
  <c r="U113" i="11"/>
  <c r="V113" i="11" s="1"/>
  <c r="W113" i="11" s="1"/>
  <c r="R114" i="11"/>
  <c r="T112" i="11"/>
  <c r="AH112" i="11"/>
  <c r="AI112" i="11" s="1"/>
  <c r="AH113" i="11"/>
  <c r="AI113" i="11" s="1"/>
  <c r="S113" i="11"/>
  <c r="Z116" i="11"/>
  <c r="E116" i="11"/>
  <c r="K116" i="11"/>
  <c r="D117" i="11"/>
  <c r="G116" i="11"/>
  <c r="M116" i="11" s="1"/>
  <c r="AA116" i="11"/>
  <c r="AB116" i="11" s="1"/>
  <c r="H116" i="11"/>
  <c r="N116" i="11" s="1"/>
  <c r="J115" i="11"/>
  <c r="P115" i="11" s="1"/>
  <c r="I115" i="11"/>
  <c r="O115" i="11" s="1"/>
  <c r="AM113" i="11" l="1"/>
  <c r="AN113" i="11" s="1"/>
  <c r="AW112" i="11"/>
  <c r="AX112" i="11" s="1"/>
  <c r="AQ114" i="11"/>
  <c r="AV114" i="11"/>
  <c r="T114" i="11"/>
  <c r="AL114" i="11"/>
  <c r="AM112" i="11"/>
  <c r="AN112" i="11" s="1"/>
  <c r="AR112" i="11"/>
  <c r="AS112" i="11" s="1"/>
  <c r="Q114" i="11"/>
  <c r="AH114" i="11" s="1"/>
  <c r="AI114" i="11" s="1"/>
  <c r="R115" i="11"/>
  <c r="U114" i="11"/>
  <c r="V114" i="11" s="1"/>
  <c r="W114" i="11" s="1"/>
  <c r="J116" i="11"/>
  <c r="P116" i="11" s="1"/>
  <c r="I116" i="11"/>
  <c r="O116" i="11" s="1"/>
  <c r="Z117" i="11"/>
  <c r="H117" i="11"/>
  <c r="N117" i="11" s="1"/>
  <c r="E117" i="11"/>
  <c r="K117" i="11"/>
  <c r="D118" i="11"/>
  <c r="AA117" i="11"/>
  <c r="AB117" i="11" s="1"/>
  <c r="G117" i="11"/>
  <c r="M117" i="11" s="1"/>
  <c r="AV115" i="11" l="1"/>
  <c r="AQ115" i="11"/>
  <c r="T115" i="11"/>
  <c r="AL115" i="11"/>
  <c r="S114" i="11"/>
  <c r="AK114" i="11"/>
  <c r="AM114" i="11" s="1"/>
  <c r="AN114" i="11" s="1"/>
  <c r="AU114" i="11"/>
  <c r="AW114" i="11" s="1"/>
  <c r="AX114" i="11" s="1"/>
  <c r="AP114" i="11"/>
  <c r="AR114" i="11" s="1"/>
  <c r="AS114" i="11" s="1"/>
  <c r="R116" i="11"/>
  <c r="I117" i="11"/>
  <c r="O117" i="11" s="1"/>
  <c r="E118" i="11"/>
  <c r="H118" i="11"/>
  <c r="N118" i="11" s="1"/>
  <c r="Z118" i="11"/>
  <c r="D119" i="11"/>
  <c r="G118" i="11"/>
  <c r="M118" i="11" s="1"/>
  <c r="K118" i="11"/>
  <c r="AA118" i="11"/>
  <c r="AB118" i="11" s="1"/>
  <c r="J117" i="11"/>
  <c r="P117" i="11" s="1"/>
  <c r="Q115" i="11"/>
  <c r="U115" i="11"/>
  <c r="V115" i="11" s="1"/>
  <c r="W115" i="11" s="1"/>
  <c r="AV116" i="11" l="1"/>
  <c r="AQ116" i="11"/>
  <c r="T116" i="11"/>
  <c r="AL116" i="11"/>
  <c r="AP115" i="11"/>
  <c r="AR115" i="11" s="1"/>
  <c r="AS115" i="11" s="1"/>
  <c r="AU115" i="11"/>
  <c r="AW115" i="11" s="1"/>
  <c r="AX115" i="11" s="1"/>
  <c r="AK115" i="11"/>
  <c r="AM115" i="11" s="1"/>
  <c r="AN115" i="11" s="1"/>
  <c r="R117" i="11"/>
  <c r="U116" i="11"/>
  <c r="V116" i="11" s="1"/>
  <c r="W116" i="11" s="1"/>
  <c r="Q116" i="11"/>
  <c r="D120" i="11"/>
  <c r="H119" i="11"/>
  <c r="N119" i="11" s="1"/>
  <c r="AA119" i="11"/>
  <c r="AB119" i="11" s="1"/>
  <c r="Z119" i="11"/>
  <c r="E119" i="11"/>
  <c r="K119" i="11"/>
  <c r="G119" i="11"/>
  <c r="M119" i="11" s="1"/>
  <c r="J118" i="11"/>
  <c r="P118" i="11" s="1"/>
  <c r="S115" i="11"/>
  <c r="AH115" i="11"/>
  <c r="AI115" i="11" s="1"/>
  <c r="I118" i="11"/>
  <c r="O118" i="11" s="1"/>
  <c r="AV117" i="11" l="1"/>
  <c r="AQ117" i="11"/>
  <c r="T117" i="11"/>
  <c r="AL117" i="11"/>
  <c r="AU116" i="11"/>
  <c r="AW116" i="11" s="1"/>
  <c r="AX116" i="11" s="1"/>
  <c r="AK116" i="11"/>
  <c r="AM116" i="11" s="1"/>
  <c r="AN116" i="11" s="1"/>
  <c r="AP116" i="11"/>
  <c r="AR116" i="11" s="1"/>
  <c r="AS116" i="11" s="1"/>
  <c r="R118" i="11"/>
  <c r="I119" i="11"/>
  <c r="O119" i="11" s="1"/>
  <c r="G120" i="11"/>
  <c r="M120" i="11" s="1"/>
  <c r="Z120" i="11"/>
  <c r="K120" i="11"/>
  <c r="D121" i="11"/>
  <c r="E120" i="11"/>
  <c r="H120" i="11"/>
  <c r="N120" i="11" s="1"/>
  <c r="AA120" i="11"/>
  <c r="AB120" i="11" s="1"/>
  <c r="Q117" i="11"/>
  <c r="U117" i="11"/>
  <c r="V117" i="11" s="1"/>
  <c r="W117" i="11" s="1"/>
  <c r="J119" i="11"/>
  <c r="P119" i="11" s="1"/>
  <c r="S116" i="11"/>
  <c r="AH116" i="11"/>
  <c r="AI116" i="11" s="1"/>
  <c r="AV118" i="11" l="1"/>
  <c r="AQ118" i="11"/>
  <c r="T118" i="11"/>
  <c r="AL118" i="11"/>
  <c r="AU117" i="11"/>
  <c r="AW117" i="11" s="1"/>
  <c r="AX117" i="11" s="1"/>
  <c r="AP117" i="11"/>
  <c r="AR117" i="11" s="1"/>
  <c r="AS117" i="11" s="1"/>
  <c r="AK117" i="11"/>
  <c r="AM117" i="11" s="1"/>
  <c r="AN117" i="11" s="1"/>
  <c r="Q118" i="11"/>
  <c r="U118" i="11"/>
  <c r="V118" i="11" s="1"/>
  <c r="W118" i="11" s="1"/>
  <c r="S117" i="11"/>
  <c r="AH117" i="11"/>
  <c r="AI117" i="11" s="1"/>
  <c r="J120" i="11"/>
  <c r="P120" i="11" s="1"/>
  <c r="G121" i="11"/>
  <c r="M121" i="11" s="1"/>
  <c r="H121" i="11"/>
  <c r="N121" i="11" s="1"/>
  <c r="AA121" i="11"/>
  <c r="AB121" i="11" s="1"/>
  <c r="Z121" i="11"/>
  <c r="E121" i="11"/>
  <c r="D122" i="11"/>
  <c r="K121" i="11"/>
  <c r="I120" i="11"/>
  <c r="O120" i="11" s="1"/>
  <c r="S118" i="11" l="1"/>
  <c r="AU118" i="11"/>
  <c r="AW118" i="11" s="1"/>
  <c r="AX118" i="11" s="1"/>
  <c r="AK118" i="11"/>
  <c r="AM118" i="11" s="1"/>
  <c r="AN118" i="11" s="1"/>
  <c r="AP118" i="11"/>
  <c r="AR118" i="11" s="1"/>
  <c r="AS118" i="11" s="1"/>
  <c r="AH118" i="11"/>
  <c r="AI118" i="11" s="1"/>
  <c r="Q119" i="11"/>
  <c r="R120" i="11"/>
  <c r="R119" i="11"/>
  <c r="U119" i="11"/>
  <c r="V119" i="11" s="1"/>
  <c r="W119" i="11" s="1"/>
  <c r="K122" i="11"/>
  <c r="E122" i="11"/>
  <c r="D123" i="11"/>
  <c r="G122" i="11"/>
  <c r="M122" i="11" s="1"/>
  <c r="AA122" i="11"/>
  <c r="AB122" i="11" s="1"/>
  <c r="Z122" i="11"/>
  <c r="H122" i="11"/>
  <c r="N122" i="11" s="1"/>
  <c r="J121" i="11"/>
  <c r="P121" i="11" s="1"/>
  <c r="I121" i="11"/>
  <c r="O121" i="11" s="1"/>
  <c r="AQ119" i="11" l="1"/>
  <c r="AV119" i="11"/>
  <c r="AL120" i="11"/>
  <c r="AV120" i="11"/>
  <c r="AQ120" i="11"/>
  <c r="T120" i="11"/>
  <c r="AL119" i="11"/>
  <c r="S119" i="11"/>
  <c r="AU119" i="11"/>
  <c r="AP119" i="11"/>
  <c r="AK119" i="11"/>
  <c r="R121" i="11"/>
  <c r="J122" i="11"/>
  <c r="P122" i="11" s="1"/>
  <c r="K123" i="11"/>
  <c r="G123" i="11"/>
  <c r="M123" i="11" s="1"/>
  <c r="AA123" i="11"/>
  <c r="AB123" i="11" s="1"/>
  <c r="D124" i="11"/>
  <c r="E123" i="11"/>
  <c r="Z123" i="11"/>
  <c r="H123" i="11"/>
  <c r="N123" i="11" s="1"/>
  <c r="T119" i="11"/>
  <c r="AH119" i="11"/>
  <c r="AI119" i="11" s="1"/>
  <c r="I122" i="11"/>
  <c r="O122" i="11" s="1"/>
  <c r="Q120" i="11"/>
  <c r="U120" i="11"/>
  <c r="V120" i="11" s="1"/>
  <c r="W120" i="11" s="1"/>
  <c r="AM119" i="11" l="1"/>
  <c r="AN119" i="11" s="1"/>
  <c r="AL121" i="11"/>
  <c r="AV121" i="11"/>
  <c r="AQ121" i="11"/>
  <c r="AR119" i="11"/>
  <c r="AS119" i="11" s="1"/>
  <c r="AW119" i="11"/>
  <c r="AX119" i="11" s="1"/>
  <c r="T121" i="11"/>
  <c r="AK120" i="11"/>
  <c r="AM120" i="11" s="1"/>
  <c r="AN120" i="11" s="1"/>
  <c r="AU120" i="11"/>
  <c r="AW120" i="11" s="1"/>
  <c r="AX120" i="11" s="1"/>
  <c r="AP120" i="11"/>
  <c r="AR120" i="11" s="1"/>
  <c r="AS120" i="11" s="1"/>
  <c r="Q121" i="11"/>
  <c r="AH121" i="11" s="1"/>
  <c r="AI121" i="11" s="1"/>
  <c r="R122" i="11"/>
  <c r="U121" i="11"/>
  <c r="V121" i="11" s="1"/>
  <c r="W121" i="11" s="1"/>
  <c r="S120" i="11"/>
  <c r="AH120" i="11"/>
  <c r="AI120" i="11" s="1"/>
  <c r="K124" i="11"/>
  <c r="D125" i="11"/>
  <c r="G124" i="11"/>
  <c r="M124" i="11" s="1"/>
  <c r="E124" i="11"/>
  <c r="AA124" i="11"/>
  <c r="AB124" i="11" s="1"/>
  <c r="H124" i="11"/>
  <c r="N124" i="11" s="1"/>
  <c r="Z124" i="11"/>
  <c r="I123" i="11"/>
  <c r="O123" i="11" s="1"/>
  <c r="J123" i="11"/>
  <c r="P123" i="11" s="1"/>
  <c r="AQ122" i="11" l="1"/>
  <c r="AL122" i="11"/>
  <c r="AV122" i="11"/>
  <c r="T122" i="11"/>
  <c r="S121" i="11"/>
  <c r="AP121" i="11"/>
  <c r="AR121" i="11" s="1"/>
  <c r="AS121" i="11" s="1"/>
  <c r="AU121" i="11"/>
  <c r="AW121" i="11" s="1"/>
  <c r="AX121" i="11" s="1"/>
  <c r="AK121" i="11"/>
  <c r="AM121" i="11" s="1"/>
  <c r="AN121" i="11" s="1"/>
  <c r="Q122" i="11"/>
  <c r="AH122" i="11" s="1"/>
  <c r="AI122" i="11" s="1"/>
  <c r="U122" i="11"/>
  <c r="V122" i="11" s="1"/>
  <c r="W122" i="11" s="1"/>
  <c r="R123" i="11"/>
  <c r="I124" i="11"/>
  <c r="O124" i="11" s="1"/>
  <c r="J124" i="11"/>
  <c r="P124" i="11" s="1"/>
  <c r="E125" i="11"/>
  <c r="G125" i="11"/>
  <c r="M125" i="11" s="1"/>
  <c r="AA125" i="11"/>
  <c r="AB125" i="11" s="1"/>
  <c r="D126" i="11"/>
  <c r="K125" i="11"/>
  <c r="H125" i="11"/>
  <c r="N125" i="11" s="1"/>
  <c r="Z125" i="11"/>
  <c r="AV123" i="11" l="1"/>
  <c r="AQ123" i="11"/>
  <c r="AL123" i="11"/>
  <c r="T123" i="11"/>
  <c r="S122" i="11"/>
  <c r="AU122" i="11"/>
  <c r="AW122" i="11" s="1"/>
  <c r="AX122" i="11" s="1"/>
  <c r="AK122" i="11"/>
  <c r="AM122" i="11" s="1"/>
  <c r="AN122" i="11" s="1"/>
  <c r="AP122" i="11"/>
  <c r="AR122" i="11" s="1"/>
  <c r="AS122" i="11" s="1"/>
  <c r="Q123" i="11"/>
  <c r="U123" i="11"/>
  <c r="V123" i="11" s="1"/>
  <c r="W123" i="11" s="1"/>
  <c r="J125" i="11"/>
  <c r="P125" i="11" s="1"/>
  <c r="Z126" i="11"/>
  <c r="K126" i="11"/>
  <c r="AA126" i="11"/>
  <c r="AB126" i="11" s="1"/>
  <c r="H126" i="11"/>
  <c r="N126" i="11" s="1"/>
  <c r="E126" i="11"/>
  <c r="G126" i="11"/>
  <c r="M126" i="11" s="1"/>
  <c r="D127" i="11"/>
  <c r="I125" i="11"/>
  <c r="O125" i="11" s="1"/>
  <c r="S123" i="11" l="1"/>
  <c r="AU123" i="11"/>
  <c r="AW123" i="11" s="1"/>
  <c r="AX123" i="11" s="1"/>
  <c r="AK123" i="11"/>
  <c r="AM123" i="11" s="1"/>
  <c r="AN123" i="11" s="1"/>
  <c r="AP123" i="11"/>
  <c r="AR123" i="11" s="1"/>
  <c r="AS123" i="11" s="1"/>
  <c r="AH123" i="11"/>
  <c r="AI123" i="11" s="1"/>
  <c r="Q124" i="11"/>
  <c r="R124" i="11"/>
  <c r="U124" i="11"/>
  <c r="V124" i="11" s="1"/>
  <c r="W124" i="11" s="1"/>
  <c r="I126" i="11"/>
  <c r="O126" i="11" s="1"/>
  <c r="J126" i="11"/>
  <c r="P126" i="11" s="1"/>
  <c r="R125" i="11"/>
  <c r="H127" i="11"/>
  <c r="N127" i="11" s="1"/>
  <c r="G127" i="11"/>
  <c r="M127" i="11" s="1"/>
  <c r="D128" i="11"/>
  <c r="Z127" i="11"/>
  <c r="K127" i="11"/>
  <c r="AA127" i="11"/>
  <c r="AB127" i="11" s="1"/>
  <c r="E127" i="11"/>
  <c r="AV124" i="11" l="1"/>
  <c r="AQ124" i="11"/>
  <c r="AL124" i="11"/>
  <c r="AV125" i="11"/>
  <c r="AQ125" i="11"/>
  <c r="AL125" i="11"/>
  <c r="T125" i="11"/>
  <c r="S124" i="11"/>
  <c r="AP124" i="11"/>
  <c r="AR124" i="11" s="1"/>
  <c r="AS124" i="11" s="1"/>
  <c r="AK124" i="11"/>
  <c r="AM124" i="11" s="1"/>
  <c r="AN124" i="11" s="1"/>
  <c r="AU124" i="11"/>
  <c r="AW124" i="11" s="1"/>
  <c r="AX124" i="11" s="1"/>
  <c r="I127" i="11"/>
  <c r="O127" i="11" s="1"/>
  <c r="R126" i="11"/>
  <c r="K128" i="11"/>
  <c r="E128" i="11"/>
  <c r="G128" i="11"/>
  <c r="M128" i="11" s="1"/>
  <c r="H128" i="11"/>
  <c r="N128" i="11" s="1"/>
  <c r="AA128" i="11"/>
  <c r="AB128" i="11" s="1"/>
  <c r="Z128" i="11"/>
  <c r="D129" i="11"/>
  <c r="J127" i="11"/>
  <c r="P127" i="11" s="1"/>
  <c r="Q125" i="11"/>
  <c r="U125" i="11"/>
  <c r="V125" i="11" s="1"/>
  <c r="W125" i="11" s="1"/>
  <c r="T124" i="11"/>
  <c r="AH124" i="11"/>
  <c r="AI124" i="11" s="1"/>
  <c r="AL126" i="11" l="1"/>
  <c r="AV126" i="11"/>
  <c r="AQ126" i="11"/>
  <c r="T126" i="11"/>
  <c r="AU125" i="11"/>
  <c r="AW125" i="11" s="1"/>
  <c r="AX125" i="11" s="1"/>
  <c r="AP125" i="11"/>
  <c r="AR125" i="11" s="1"/>
  <c r="AS125" i="11" s="1"/>
  <c r="AK125" i="11"/>
  <c r="AM125" i="11" s="1"/>
  <c r="AN125" i="11" s="1"/>
  <c r="S125" i="11"/>
  <c r="AH125" i="11"/>
  <c r="AI125" i="11" s="1"/>
  <c r="J128" i="11"/>
  <c r="P128" i="11" s="1"/>
  <c r="U126" i="11"/>
  <c r="V126" i="11" s="1"/>
  <c r="W126" i="11" s="1"/>
  <c r="Q126" i="11"/>
  <c r="E129" i="11"/>
  <c r="K129" i="11"/>
  <c r="Z129" i="11"/>
  <c r="AA129" i="11"/>
  <c r="AB129" i="11" s="1"/>
  <c r="H129" i="11"/>
  <c r="N129" i="11" s="1"/>
  <c r="D130" i="11"/>
  <c r="G129" i="11"/>
  <c r="M129" i="11" s="1"/>
  <c r="I128" i="11"/>
  <c r="O128" i="11" s="1"/>
  <c r="AK126" i="11" l="1"/>
  <c r="AM126" i="11" s="1"/>
  <c r="AN126" i="11" s="1"/>
  <c r="AU126" i="11"/>
  <c r="AW126" i="11" s="1"/>
  <c r="AX126" i="11" s="1"/>
  <c r="AP126" i="11"/>
  <c r="AR126" i="11" s="1"/>
  <c r="AS126" i="11" s="1"/>
  <c r="Q127" i="11"/>
  <c r="Q128" i="11"/>
  <c r="S128" i="11" s="1"/>
  <c r="R128" i="11"/>
  <c r="I129" i="11"/>
  <c r="O129" i="11" s="1"/>
  <c r="J129" i="11"/>
  <c r="P129" i="11" s="1"/>
  <c r="K130" i="11"/>
  <c r="G130" i="11"/>
  <c r="M130" i="11" s="1"/>
  <c r="Z130" i="11"/>
  <c r="D131" i="11"/>
  <c r="AA130" i="11"/>
  <c r="AB130" i="11" s="1"/>
  <c r="E130" i="11"/>
  <c r="H130" i="11"/>
  <c r="N130" i="11" s="1"/>
  <c r="AH126" i="11"/>
  <c r="AI126" i="11" s="1"/>
  <c r="S126" i="11"/>
  <c r="R127" i="11"/>
  <c r="U127" i="11"/>
  <c r="V127" i="11" s="1"/>
  <c r="W127" i="11" s="1"/>
  <c r="AQ128" i="11" l="1"/>
  <c r="AV128" i="11"/>
  <c r="AL128" i="11"/>
  <c r="AV127" i="11"/>
  <c r="AQ127" i="11"/>
  <c r="AL127" i="11"/>
  <c r="T128" i="11"/>
  <c r="AP128" i="11"/>
  <c r="AR128" i="11" s="1"/>
  <c r="AS128" i="11" s="1"/>
  <c r="AU128" i="11"/>
  <c r="AW128" i="11" s="1"/>
  <c r="AX128" i="11" s="1"/>
  <c r="AK128" i="11"/>
  <c r="AM128" i="11" s="1"/>
  <c r="AN128" i="11" s="1"/>
  <c r="S127" i="11"/>
  <c r="AP127" i="11"/>
  <c r="AU127" i="11"/>
  <c r="AK127" i="11"/>
  <c r="AH128" i="11"/>
  <c r="AI128" i="11" s="1"/>
  <c r="U128" i="11"/>
  <c r="V128" i="11" s="1"/>
  <c r="W128" i="11" s="1"/>
  <c r="T127" i="11"/>
  <c r="AH127" i="11"/>
  <c r="AI127" i="11" s="1"/>
  <c r="D132" i="11"/>
  <c r="Z131" i="11"/>
  <c r="H131" i="11"/>
  <c r="N131" i="11" s="1"/>
  <c r="G131" i="11"/>
  <c r="M131" i="11" s="1"/>
  <c r="E131" i="11"/>
  <c r="AA131" i="11"/>
  <c r="AB131" i="11" s="1"/>
  <c r="K131" i="11"/>
  <c r="I130" i="11"/>
  <c r="O130" i="11" s="1"/>
  <c r="J130" i="11"/>
  <c r="P130" i="11" s="1"/>
  <c r="AR127" i="11" l="1"/>
  <c r="AS127" i="11" s="1"/>
  <c r="AM127" i="11"/>
  <c r="AN127" i="11" s="1"/>
  <c r="AW127" i="11"/>
  <c r="AX127" i="11" s="1"/>
  <c r="Q129" i="11"/>
  <c r="R129" i="11"/>
  <c r="U129" i="11"/>
  <c r="V129" i="11" s="1"/>
  <c r="W129" i="11" s="1"/>
  <c r="I131" i="11"/>
  <c r="O131" i="11" s="1"/>
  <c r="J131" i="11"/>
  <c r="P131" i="11" s="1"/>
  <c r="AA132" i="11"/>
  <c r="AB132" i="11" s="1"/>
  <c r="H132" i="11"/>
  <c r="N132" i="11" s="1"/>
  <c r="E132" i="11"/>
  <c r="D133" i="11"/>
  <c r="K132" i="11"/>
  <c r="Z132" i="11"/>
  <c r="G132" i="11"/>
  <c r="M132" i="11" s="1"/>
  <c r="AL129" i="11" l="1"/>
  <c r="AV129" i="11"/>
  <c r="AQ129" i="11"/>
  <c r="S129" i="11"/>
  <c r="AK129" i="11"/>
  <c r="AU129" i="11"/>
  <c r="AP129" i="11"/>
  <c r="Q130" i="11"/>
  <c r="Q131" i="11"/>
  <c r="R131" i="11"/>
  <c r="I132" i="11"/>
  <c r="O132" i="11" s="1"/>
  <c r="Z133" i="11"/>
  <c r="G133" i="11"/>
  <c r="M133" i="11" s="1"/>
  <c r="E133" i="11"/>
  <c r="K133" i="11"/>
  <c r="D134" i="11"/>
  <c r="AA133" i="11"/>
  <c r="AB133" i="11" s="1"/>
  <c r="H133" i="11"/>
  <c r="N133" i="11" s="1"/>
  <c r="J132" i="11"/>
  <c r="P132" i="11" s="1"/>
  <c r="R130" i="11"/>
  <c r="U130" i="11"/>
  <c r="V130" i="11" s="1"/>
  <c r="W130" i="11" s="1"/>
  <c r="T129" i="11"/>
  <c r="AH129" i="11"/>
  <c r="AI129" i="11" s="1"/>
  <c r="AR129" i="11" l="1"/>
  <c r="AS129" i="11" s="1"/>
  <c r="AQ131" i="11"/>
  <c r="AV131" i="11"/>
  <c r="AL131" i="11"/>
  <c r="AV130" i="11"/>
  <c r="AQ130" i="11"/>
  <c r="AL130" i="11"/>
  <c r="AW129" i="11"/>
  <c r="AX129" i="11" s="1"/>
  <c r="AM129" i="11"/>
  <c r="AN129" i="11" s="1"/>
  <c r="T131" i="11"/>
  <c r="AU131" i="11"/>
  <c r="AW131" i="11" s="1"/>
  <c r="AX131" i="11" s="1"/>
  <c r="AP131" i="11"/>
  <c r="AK131" i="11"/>
  <c r="S130" i="11"/>
  <c r="AK130" i="11"/>
  <c r="AU130" i="11"/>
  <c r="AP130" i="11"/>
  <c r="U131" i="11"/>
  <c r="V131" i="11" s="1"/>
  <c r="W131" i="11" s="1"/>
  <c r="R132" i="11"/>
  <c r="T130" i="11"/>
  <c r="AH130" i="11"/>
  <c r="AI130" i="11" s="1"/>
  <c r="I133" i="11"/>
  <c r="O133" i="11" s="1"/>
  <c r="J133" i="11"/>
  <c r="P133" i="11" s="1"/>
  <c r="Z134" i="11"/>
  <c r="D135" i="11"/>
  <c r="G134" i="11"/>
  <c r="M134" i="11" s="1"/>
  <c r="E134" i="11"/>
  <c r="AA134" i="11"/>
  <c r="AB134" i="11" s="1"/>
  <c r="H134" i="11"/>
  <c r="N134" i="11" s="1"/>
  <c r="K134" i="11"/>
  <c r="AH131" i="11"/>
  <c r="AI131" i="11" s="1"/>
  <c r="S131" i="11"/>
  <c r="AR131" i="11" l="1"/>
  <c r="AS131" i="11" s="1"/>
  <c r="AM131" i="11"/>
  <c r="AN131" i="11" s="1"/>
  <c r="AL132" i="11"/>
  <c r="AV132" i="11"/>
  <c r="AQ132" i="11"/>
  <c r="AM130" i="11"/>
  <c r="AN130" i="11" s="1"/>
  <c r="R133" i="11"/>
  <c r="AR130" i="11"/>
  <c r="AS130" i="11" s="1"/>
  <c r="T132" i="11"/>
  <c r="AW130" i="11"/>
  <c r="AX130" i="11" s="1"/>
  <c r="I134" i="11"/>
  <c r="O134" i="11" s="1"/>
  <c r="J134" i="11"/>
  <c r="P134" i="11" s="1"/>
  <c r="G135" i="11"/>
  <c r="M135" i="11" s="1"/>
  <c r="K135" i="11"/>
  <c r="D136" i="11"/>
  <c r="Z135" i="11"/>
  <c r="E135" i="11"/>
  <c r="AA135" i="11"/>
  <c r="AB135" i="11" s="1"/>
  <c r="H135" i="11"/>
  <c r="N135" i="11" s="1"/>
  <c r="Q132" i="11"/>
  <c r="U132" i="11"/>
  <c r="V132" i="11" s="1"/>
  <c r="W132" i="11" s="1"/>
  <c r="AL133" i="11" l="1"/>
  <c r="AQ133" i="11"/>
  <c r="AV133" i="11"/>
  <c r="T133" i="11"/>
  <c r="AK132" i="11"/>
  <c r="AM132" i="11" s="1"/>
  <c r="AN132" i="11" s="1"/>
  <c r="AU132" i="11"/>
  <c r="AW132" i="11" s="1"/>
  <c r="AX132" i="11" s="1"/>
  <c r="AP132" i="11"/>
  <c r="AR132" i="11" s="1"/>
  <c r="AS132" i="11" s="1"/>
  <c r="R134" i="11"/>
  <c r="J135" i="11"/>
  <c r="P135" i="11" s="1"/>
  <c r="D137" i="11"/>
  <c r="Z136" i="11"/>
  <c r="G136" i="11"/>
  <c r="M136" i="11" s="1"/>
  <c r="E136" i="11"/>
  <c r="AA136" i="11"/>
  <c r="AB136" i="11" s="1"/>
  <c r="H136" i="11"/>
  <c r="N136" i="11" s="1"/>
  <c r="K136" i="11"/>
  <c r="I135" i="11"/>
  <c r="O135" i="11" s="1"/>
  <c r="S132" i="11"/>
  <c r="AH132" i="11"/>
  <c r="AI132" i="11" s="1"/>
  <c r="U133" i="11"/>
  <c r="V133" i="11" s="1"/>
  <c r="W133" i="11" s="1"/>
  <c r="Q133" i="11"/>
  <c r="AQ134" i="11" l="1"/>
  <c r="AL134" i="11"/>
  <c r="AV134" i="11"/>
  <c r="T134" i="11"/>
  <c r="AP133" i="11"/>
  <c r="AR133" i="11" s="1"/>
  <c r="AS133" i="11" s="1"/>
  <c r="AK133" i="11"/>
  <c r="AM133" i="11" s="1"/>
  <c r="AN133" i="11" s="1"/>
  <c r="AU133" i="11"/>
  <c r="AW133" i="11" s="1"/>
  <c r="AX133" i="11" s="1"/>
  <c r="Q134" i="11"/>
  <c r="R135" i="11"/>
  <c r="U134" i="11"/>
  <c r="V134" i="11" s="1"/>
  <c r="W134" i="11" s="1"/>
  <c r="J136" i="11"/>
  <c r="P136" i="11" s="1"/>
  <c r="S133" i="11"/>
  <c r="AH133" i="11"/>
  <c r="AI133" i="11" s="1"/>
  <c r="I136" i="11"/>
  <c r="O136" i="11" s="1"/>
  <c r="Z137" i="11"/>
  <c r="K137" i="11"/>
  <c r="D138" i="11"/>
  <c r="H137" i="11"/>
  <c r="N137" i="11" s="1"/>
  <c r="AA137" i="11"/>
  <c r="AB137" i="11" s="1"/>
  <c r="E137" i="11"/>
  <c r="G137" i="11"/>
  <c r="M137" i="11" s="1"/>
  <c r="AV135" i="11" l="1"/>
  <c r="AQ135" i="11"/>
  <c r="AL135" i="11"/>
  <c r="T135" i="11"/>
  <c r="AU134" i="11"/>
  <c r="AW134" i="11" s="1"/>
  <c r="AX134" i="11" s="1"/>
  <c r="AP134" i="11"/>
  <c r="AR134" i="11" s="1"/>
  <c r="AS134" i="11" s="1"/>
  <c r="AK134" i="11"/>
  <c r="AM134" i="11" s="1"/>
  <c r="AN134" i="11" s="1"/>
  <c r="AH134" i="11"/>
  <c r="AI134" i="11" s="1"/>
  <c r="S134" i="11"/>
  <c r="I137" i="11"/>
  <c r="O137" i="11" s="1"/>
  <c r="Z138" i="11"/>
  <c r="E138" i="11"/>
  <c r="G138" i="11"/>
  <c r="M138" i="11" s="1"/>
  <c r="D139" i="11"/>
  <c r="K138" i="11"/>
  <c r="H138" i="11"/>
  <c r="N138" i="11" s="1"/>
  <c r="AA138" i="11"/>
  <c r="AB138" i="11" s="1"/>
  <c r="J137" i="11"/>
  <c r="P137" i="11" s="1"/>
  <c r="Q135" i="11"/>
  <c r="U135" i="11"/>
  <c r="V135" i="11" s="1"/>
  <c r="W135" i="11" s="1"/>
  <c r="AP135" i="11" l="1"/>
  <c r="AR135" i="11" s="1"/>
  <c r="AS135" i="11" s="1"/>
  <c r="AU135" i="11"/>
  <c r="AW135" i="11" s="1"/>
  <c r="AX135" i="11" s="1"/>
  <c r="AK135" i="11"/>
  <c r="AM135" i="11" s="1"/>
  <c r="AN135" i="11" s="1"/>
  <c r="Q136" i="11"/>
  <c r="R137" i="11"/>
  <c r="R136" i="11"/>
  <c r="U136" i="11"/>
  <c r="V136" i="11" s="1"/>
  <c r="W136" i="11" s="1"/>
  <c r="J138" i="11"/>
  <c r="P138" i="11" s="1"/>
  <c r="G139" i="11"/>
  <c r="M139" i="11" s="1"/>
  <c r="AA139" i="11"/>
  <c r="AB139" i="11" s="1"/>
  <c r="Z139" i="11"/>
  <c r="H139" i="11"/>
  <c r="N139" i="11" s="1"/>
  <c r="K139" i="11"/>
  <c r="D140" i="11"/>
  <c r="E139" i="11"/>
  <c r="AH135" i="11"/>
  <c r="AI135" i="11" s="1"/>
  <c r="S135" i="11"/>
  <c r="I138" i="11"/>
  <c r="O138" i="11" s="1"/>
  <c r="AV136" i="11" l="1"/>
  <c r="AQ136" i="11"/>
  <c r="AL136" i="11"/>
  <c r="AV137" i="11"/>
  <c r="AQ137" i="11"/>
  <c r="AL137" i="11"/>
  <c r="T137" i="11"/>
  <c r="S136" i="11"/>
  <c r="AU136" i="11"/>
  <c r="AP136" i="11"/>
  <c r="AR136" i="11" s="1"/>
  <c r="AS136" i="11" s="1"/>
  <c r="AK136" i="11"/>
  <c r="AM136" i="11" s="1"/>
  <c r="AN136" i="11" s="1"/>
  <c r="R138" i="11"/>
  <c r="I139" i="11"/>
  <c r="O139" i="11" s="1"/>
  <c r="T136" i="11"/>
  <c r="AH136" i="11"/>
  <c r="AI136" i="11" s="1"/>
  <c r="Q137" i="11"/>
  <c r="U137" i="11"/>
  <c r="V137" i="11" s="1"/>
  <c r="W137" i="11" s="1"/>
  <c r="D141" i="11"/>
  <c r="Z140" i="11"/>
  <c r="H140" i="11"/>
  <c r="N140" i="11" s="1"/>
  <c r="AA140" i="11"/>
  <c r="AB140" i="11" s="1"/>
  <c r="G140" i="11"/>
  <c r="M140" i="11" s="1"/>
  <c r="E140" i="11"/>
  <c r="K140" i="11"/>
  <c r="J139" i="11"/>
  <c r="P139" i="11" s="1"/>
  <c r="AW136" i="11" l="1"/>
  <c r="AX136" i="11" s="1"/>
  <c r="AV138" i="11"/>
  <c r="AQ138" i="11"/>
  <c r="AL138" i="11"/>
  <c r="T138" i="11"/>
  <c r="AU137" i="11"/>
  <c r="AW137" i="11" s="1"/>
  <c r="AX137" i="11" s="1"/>
  <c r="AK137" i="11"/>
  <c r="AM137" i="11" s="1"/>
  <c r="AN137" i="11" s="1"/>
  <c r="AP137" i="11"/>
  <c r="AR137" i="11" s="1"/>
  <c r="AS137" i="11" s="1"/>
  <c r="R139" i="11"/>
  <c r="I140" i="11"/>
  <c r="O140" i="11" s="1"/>
  <c r="J140" i="11"/>
  <c r="P140" i="11" s="1"/>
  <c r="E141" i="11"/>
  <c r="D142" i="11"/>
  <c r="H141" i="11"/>
  <c r="N141" i="11" s="1"/>
  <c r="Z141" i="11"/>
  <c r="K141" i="11"/>
  <c r="AA141" i="11"/>
  <c r="AB141" i="11" s="1"/>
  <c r="G141" i="11"/>
  <c r="M141" i="11" s="1"/>
  <c r="AH137" i="11"/>
  <c r="AI137" i="11" s="1"/>
  <c r="S137" i="11"/>
  <c r="U138" i="11"/>
  <c r="V138" i="11" s="1"/>
  <c r="W138" i="11" s="1"/>
  <c r="Q138" i="11"/>
  <c r="AV139" i="11" l="1"/>
  <c r="AQ139" i="11"/>
  <c r="AL139" i="11"/>
  <c r="T139" i="11"/>
  <c r="AK138" i="11"/>
  <c r="AM138" i="11" s="1"/>
  <c r="AN138" i="11" s="1"/>
  <c r="AP138" i="11"/>
  <c r="AR138" i="11" s="1"/>
  <c r="AS138" i="11" s="1"/>
  <c r="AU138" i="11"/>
  <c r="AW138" i="11" s="1"/>
  <c r="AX138" i="11" s="1"/>
  <c r="Q139" i="11"/>
  <c r="U139" i="11"/>
  <c r="V139" i="11" s="1"/>
  <c r="W139" i="11" s="1"/>
  <c r="D143" i="11"/>
  <c r="E142" i="11"/>
  <c r="Z142" i="11"/>
  <c r="AA142" i="11"/>
  <c r="AB142" i="11" s="1"/>
  <c r="K142" i="11"/>
  <c r="G142" i="11"/>
  <c r="M142" i="11" s="1"/>
  <c r="H142" i="11"/>
  <c r="N142" i="11" s="1"/>
  <c r="AH138" i="11"/>
  <c r="AI138" i="11" s="1"/>
  <c r="S138" i="11"/>
  <c r="I141" i="11"/>
  <c r="O141" i="11" s="1"/>
  <c r="J141" i="11"/>
  <c r="P141" i="11" s="1"/>
  <c r="AP139" i="11" l="1"/>
  <c r="AR139" i="11" s="1"/>
  <c r="AS139" i="11" s="1"/>
  <c r="AK139" i="11"/>
  <c r="AM139" i="11" s="1"/>
  <c r="AN139" i="11" s="1"/>
  <c r="AU139" i="11"/>
  <c r="AW139" i="11" s="1"/>
  <c r="AX139" i="11" s="1"/>
  <c r="Q140" i="11"/>
  <c r="S139" i="11"/>
  <c r="AH139" i="11"/>
  <c r="AI139" i="11" s="1"/>
  <c r="R141" i="11"/>
  <c r="R140" i="11"/>
  <c r="U140" i="11"/>
  <c r="V140" i="11" s="1"/>
  <c r="W140" i="11" s="1"/>
  <c r="I142" i="11"/>
  <c r="O142" i="11" s="1"/>
  <c r="J142" i="11"/>
  <c r="P142" i="11" s="1"/>
  <c r="AA143" i="11"/>
  <c r="AB143" i="11" s="1"/>
  <c r="Z143" i="11"/>
  <c r="K143" i="11"/>
  <c r="G143" i="11"/>
  <c r="M143" i="11" s="1"/>
  <c r="H143" i="11"/>
  <c r="N143" i="11" s="1"/>
  <c r="E143" i="11"/>
  <c r="D144" i="11"/>
  <c r="AQ140" i="11" l="1"/>
  <c r="AV140" i="11"/>
  <c r="AL140" i="11"/>
  <c r="AL141" i="11"/>
  <c r="AV141" i="11"/>
  <c r="AQ141" i="11"/>
  <c r="T141" i="11"/>
  <c r="S140" i="11"/>
  <c r="AU140" i="11"/>
  <c r="AP140" i="11"/>
  <c r="AK140" i="11"/>
  <c r="R142" i="11"/>
  <c r="Q141" i="11"/>
  <c r="U141" i="11"/>
  <c r="V141" i="11" s="1"/>
  <c r="W141" i="11" s="1"/>
  <c r="I143" i="11"/>
  <c r="O143" i="11" s="1"/>
  <c r="K144" i="11"/>
  <c r="H144" i="11"/>
  <c r="N144" i="11" s="1"/>
  <c r="Z144" i="11"/>
  <c r="G144" i="11"/>
  <c r="M144" i="11" s="1"/>
  <c r="AA144" i="11"/>
  <c r="AB144" i="11" s="1"/>
  <c r="E144" i="11"/>
  <c r="D145" i="11"/>
  <c r="J143" i="11"/>
  <c r="P143" i="11" s="1"/>
  <c r="T140" i="11"/>
  <c r="AH140" i="11"/>
  <c r="AI140" i="11" s="1"/>
  <c r="AV142" i="11" l="1"/>
  <c r="AQ142" i="11"/>
  <c r="AL142" i="11"/>
  <c r="AR140" i="11"/>
  <c r="AS140" i="11" s="1"/>
  <c r="AW140" i="11"/>
  <c r="AX140" i="11" s="1"/>
  <c r="AM140" i="11"/>
  <c r="AN140" i="11" s="1"/>
  <c r="T142" i="11"/>
  <c r="AK141" i="11"/>
  <c r="AM141" i="11" s="1"/>
  <c r="AN141" i="11" s="1"/>
  <c r="AP141" i="11"/>
  <c r="AR141" i="11" s="1"/>
  <c r="AS141" i="11" s="1"/>
  <c r="AU141" i="11"/>
  <c r="AW141" i="11" s="1"/>
  <c r="AX141" i="11" s="1"/>
  <c r="AH141" i="11"/>
  <c r="AI141" i="11" s="1"/>
  <c r="S141" i="11"/>
  <c r="Q142" i="11"/>
  <c r="U142" i="11"/>
  <c r="V142" i="11" s="1"/>
  <c r="W142" i="11" s="1"/>
  <c r="I144" i="11"/>
  <c r="O144" i="11" s="1"/>
  <c r="J144" i="11"/>
  <c r="P144" i="11" s="1"/>
  <c r="D146" i="11"/>
  <c r="H145" i="11"/>
  <c r="N145" i="11" s="1"/>
  <c r="E145" i="11"/>
  <c r="AA145" i="11"/>
  <c r="AB145" i="11" s="1"/>
  <c r="G145" i="11"/>
  <c r="M145" i="11" s="1"/>
  <c r="K145" i="11"/>
  <c r="Z145" i="11"/>
  <c r="AU142" i="11" l="1"/>
  <c r="AW142" i="11" s="1"/>
  <c r="AX142" i="11" s="1"/>
  <c r="AK142" i="11"/>
  <c r="AM142" i="11" s="1"/>
  <c r="AN142" i="11" s="1"/>
  <c r="AP142" i="11"/>
  <c r="AR142" i="11" s="1"/>
  <c r="AS142" i="11" s="1"/>
  <c r="Q143" i="11"/>
  <c r="R144" i="11"/>
  <c r="Q144" i="11"/>
  <c r="I145" i="11"/>
  <c r="O145" i="11" s="1"/>
  <c r="H146" i="11"/>
  <c r="N146" i="11" s="1"/>
  <c r="G146" i="11"/>
  <c r="M146" i="11" s="1"/>
  <c r="K146" i="11"/>
  <c r="E146" i="11"/>
  <c r="D147" i="11"/>
  <c r="Z146" i="11"/>
  <c r="AA146" i="11"/>
  <c r="AB146" i="11" s="1"/>
  <c r="J145" i="11"/>
  <c r="P145" i="11" s="1"/>
  <c r="R143" i="11"/>
  <c r="U143" i="11"/>
  <c r="V143" i="11" s="1"/>
  <c r="W143" i="11" s="1"/>
  <c r="S142" i="11"/>
  <c r="AH142" i="11"/>
  <c r="AI142" i="11" s="1"/>
  <c r="AL144" i="11" l="1"/>
  <c r="AV144" i="11"/>
  <c r="AQ144" i="11"/>
  <c r="AQ143" i="11"/>
  <c r="AL143" i="11"/>
  <c r="AV143" i="11"/>
  <c r="T144" i="11"/>
  <c r="AK144" i="11"/>
  <c r="AU144" i="11"/>
  <c r="AW144" i="11" s="1"/>
  <c r="AX144" i="11" s="1"/>
  <c r="AP144" i="11"/>
  <c r="S143" i="11"/>
  <c r="AU143" i="11"/>
  <c r="AP143" i="11"/>
  <c r="AK143" i="11"/>
  <c r="U144" i="11"/>
  <c r="V144" i="11" s="1"/>
  <c r="W144" i="11" s="1"/>
  <c r="T143" i="11"/>
  <c r="AH143" i="11"/>
  <c r="AI143" i="11" s="1"/>
  <c r="S144" i="11"/>
  <c r="AH144" i="11"/>
  <c r="AI144" i="11" s="1"/>
  <c r="I146" i="11"/>
  <c r="O146" i="11" s="1"/>
  <c r="K147" i="11"/>
  <c r="D148" i="11"/>
  <c r="Z147" i="11"/>
  <c r="AA147" i="11"/>
  <c r="AB147" i="11" s="1"/>
  <c r="E147" i="11"/>
  <c r="G147" i="11"/>
  <c r="M147" i="11" s="1"/>
  <c r="H147" i="11"/>
  <c r="N147" i="11" s="1"/>
  <c r="J146" i="11"/>
  <c r="P146" i="11" s="1"/>
  <c r="AW143" i="11" l="1"/>
  <c r="AX143" i="11" s="1"/>
  <c r="AR143" i="11"/>
  <c r="AS143" i="11" s="1"/>
  <c r="AR144" i="11"/>
  <c r="AS144" i="11" s="1"/>
  <c r="AM144" i="11"/>
  <c r="AN144" i="11" s="1"/>
  <c r="AM143" i="11"/>
  <c r="AN143" i="11" s="1"/>
  <c r="Q145" i="11"/>
  <c r="R146" i="11"/>
  <c r="J147" i="11"/>
  <c r="P147" i="11" s="1"/>
  <c r="I147" i="11"/>
  <c r="O147" i="11" s="1"/>
  <c r="E148" i="11"/>
  <c r="D149" i="11"/>
  <c r="AA148" i="11"/>
  <c r="AB148" i="11" s="1"/>
  <c r="H148" i="11"/>
  <c r="N148" i="11" s="1"/>
  <c r="Z148" i="11"/>
  <c r="K148" i="11"/>
  <c r="G148" i="11"/>
  <c r="M148" i="11" s="1"/>
  <c r="R145" i="11"/>
  <c r="U145" i="11"/>
  <c r="V145" i="11" s="1"/>
  <c r="W145" i="11" s="1"/>
  <c r="AQ146" i="11" l="1"/>
  <c r="AL146" i="11"/>
  <c r="AV146" i="11"/>
  <c r="AL145" i="11"/>
  <c r="AQ145" i="11"/>
  <c r="AV145" i="11"/>
  <c r="T146" i="11"/>
  <c r="S145" i="11"/>
  <c r="AP145" i="11"/>
  <c r="AU145" i="11"/>
  <c r="AK145" i="11"/>
  <c r="AM145" i="11" s="1"/>
  <c r="AN145" i="11" s="1"/>
  <c r="Q146" i="11"/>
  <c r="U146" i="11"/>
  <c r="V146" i="11" s="1"/>
  <c r="W146" i="11" s="1"/>
  <c r="T145" i="11"/>
  <c r="AH145" i="11"/>
  <c r="AI145" i="11" s="1"/>
  <c r="J148" i="11"/>
  <c r="P148" i="11" s="1"/>
  <c r="H149" i="11"/>
  <c r="N149" i="11" s="1"/>
  <c r="G149" i="11"/>
  <c r="M149" i="11" s="1"/>
  <c r="D150" i="11"/>
  <c r="AA149" i="11"/>
  <c r="AB149" i="11" s="1"/>
  <c r="Z149" i="11"/>
  <c r="K149" i="11"/>
  <c r="E149" i="11"/>
  <c r="I148" i="11"/>
  <c r="O148" i="11" s="1"/>
  <c r="AW145" i="11" l="1"/>
  <c r="AX145" i="11" s="1"/>
  <c r="AR145" i="11"/>
  <c r="AS145" i="11" s="1"/>
  <c r="S146" i="11"/>
  <c r="AU146" i="11"/>
  <c r="AW146" i="11" s="1"/>
  <c r="AX146" i="11" s="1"/>
  <c r="AP146" i="11"/>
  <c r="AR146" i="11" s="1"/>
  <c r="AS146" i="11" s="1"/>
  <c r="AK146" i="11"/>
  <c r="AM146" i="11" s="1"/>
  <c r="AN146" i="11" s="1"/>
  <c r="AH146" i="11"/>
  <c r="AI146" i="11" s="1"/>
  <c r="Q147" i="11"/>
  <c r="R148" i="11"/>
  <c r="R147" i="11"/>
  <c r="U147" i="11"/>
  <c r="V147" i="11" s="1"/>
  <c r="W147" i="11" s="1"/>
  <c r="I149" i="11"/>
  <c r="O149" i="11" s="1"/>
  <c r="AA150" i="11"/>
  <c r="AB150" i="11" s="1"/>
  <c r="E150" i="11"/>
  <c r="K150" i="11"/>
  <c r="D151" i="11"/>
  <c r="H150" i="11"/>
  <c r="N150" i="11" s="1"/>
  <c r="Z150" i="11"/>
  <c r="G150" i="11"/>
  <c r="M150" i="11" s="1"/>
  <c r="J149" i="11"/>
  <c r="P149" i="11" s="1"/>
  <c r="AV148" i="11" l="1"/>
  <c r="AQ148" i="11"/>
  <c r="AL148" i="11"/>
  <c r="AV147" i="11"/>
  <c r="AQ147" i="11"/>
  <c r="AL147" i="11"/>
  <c r="T148" i="11"/>
  <c r="S147" i="11"/>
  <c r="AU147" i="11"/>
  <c r="AW147" i="11" s="1"/>
  <c r="AX147" i="11" s="1"/>
  <c r="AK147" i="11"/>
  <c r="AP147" i="11"/>
  <c r="AR147" i="11" s="1"/>
  <c r="AS147" i="11" s="1"/>
  <c r="R149" i="11"/>
  <c r="I150" i="11"/>
  <c r="O150" i="11" s="1"/>
  <c r="J150" i="11"/>
  <c r="P150" i="11" s="1"/>
  <c r="T147" i="11"/>
  <c r="AH147" i="11"/>
  <c r="AI147" i="11" s="1"/>
  <c r="D152" i="11"/>
  <c r="Z151" i="11"/>
  <c r="AA151" i="11"/>
  <c r="AB151" i="11" s="1"/>
  <c r="K151" i="11"/>
  <c r="E151" i="11"/>
  <c r="H151" i="11"/>
  <c r="N151" i="11" s="1"/>
  <c r="G151" i="11"/>
  <c r="M151" i="11" s="1"/>
  <c r="Q148" i="11"/>
  <c r="U148" i="11"/>
  <c r="V148" i="11" s="1"/>
  <c r="W148" i="11" s="1"/>
  <c r="AM147" i="11" l="1"/>
  <c r="AN147" i="11" s="1"/>
  <c r="AV149" i="11"/>
  <c r="AQ149" i="11"/>
  <c r="AL149" i="11"/>
  <c r="T149" i="11"/>
  <c r="AU148" i="11"/>
  <c r="AW148" i="11" s="1"/>
  <c r="AX148" i="11" s="1"/>
  <c r="AP148" i="11"/>
  <c r="AR148" i="11" s="1"/>
  <c r="AS148" i="11" s="1"/>
  <c r="AK148" i="11"/>
  <c r="AM148" i="11" s="1"/>
  <c r="AN148" i="11" s="1"/>
  <c r="Q149" i="11"/>
  <c r="S149" i="11" s="1"/>
  <c r="R150" i="11"/>
  <c r="U149" i="11"/>
  <c r="V149" i="11" s="1"/>
  <c r="W149" i="11" s="1"/>
  <c r="AH148" i="11"/>
  <c r="AI148" i="11" s="1"/>
  <c r="S148" i="11"/>
  <c r="J151" i="11"/>
  <c r="P151" i="11" s="1"/>
  <c r="I151" i="11"/>
  <c r="O151" i="11" s="1"/>
  <c r="H152" i="11"/>
  <c r="N152" i="11" s="1"/>
  <c r="K152" i="11"/>
  <c r="AA152" i="11"/>
  <c r="AB152" i="11" s="1"/>
  <c r="D153" i="11"/>
  <c r="G152" i="11"/>
  <c r="M152" i="11" s="1"/>
  <c r="Z152" i="11"/>
  <c r="E152" i="11"/>
  <c r="AQ150" i="11" l="1"/>
  <c r="AV150" i="11"/>
  <c r="AL150" i="11"/>
  <c r="AH149" i="11"/>
  <c r="AI149" i="11" s="1"/>
  <c r="T150" i="11"/>
  <c r="AK149" i="11"/>
  <c r="AM149" i="11" s="1"/>
  <c r="AN149" i="11" s="1"/>
  <c r="AU149" i="11"/>
  <c r="AW149" i="11" s="1"/>
  <c r="AX149" i="11" s="1"/>
  <c r="AP149" i="11"/>
  <c r="AR149" i="11" s="1"/>
  <c r="AS149" i="11" s="1"/>
  <c r="Q150" i="11"/>
  <c r="AH150" i="11" s="1"/>
  <c r="AI150" i="11" s="1"/>
  <c r="U150" i="11"/>
  <c r="V150" i="11" s="1"/>
  <c r="W150" i="11" s="1"/>
  <c r="R151" i="11"/>
  <c r="H153" i="11"/>
  <c r="N153" i="11" s="1"/>
  <c r="E153" i="11"/>
  <c r="AA153" i="11"/>
  <c r="AB153" i="11" s="1"/>
  <c r="Z153" i="11"/>
  <c r="D154" i="11"/>
  <c r="K153" i="11"/>
  <c r="G153" i="11"/>
  <c r="M153" i="11" s="1"/>
  <c r="I152" i="11"/>
  <c r="O152" i="11" s="1"/>
  <c r="J152" i="11"/>
  <c r="P152" i="11" s="1"/>
  <c r="AL151" i="11" l="1"/>
  <c r="AV151" i="11"/>
  <c r="AQ151" i="11"/>
  <c r="T151" i="11"/>
  <c r="S150" i="11"/>
  <c r="AK150" i="11"/>
  <c r="AM150" i="11" s="1"/>
  <c r="AN150" i="11" s="1"/>
  <c r="AU150" i="11"/>
  <c r="AW150" i="11" s="1"/>
  <c r="AX150" i="11" s="1"/>
  <c r="AP150" i="11"/>
  <c r="AR150" i="11" s="1"/>
  <c r="AS150" i="11" s="1"/>
  <c r="R152" i="11"/>
  <c r="U151" i="11"/>
  <c r="V151" i="11" s="1"/>
  <c r="W151" i="11" s="1"/>
  <c r="Q151" i="11"/>
  <c r="I153" i="11"/>
  <c r="O153" i="11" s="1"/>
  <c r="G154" i="11"/>
  <c r="M154" i="11" s="1"/>
  <c r="K154" i="11"/>
  <c r="AA154" i="11"/>
  <c r="AB154" i="11" s="1"/>
  <c r="H154" i="11"/>
  <c r="N154" i="11" s="1"/>
  <c r="E154" i="11"/>
  <c r="Z154" i="11"/>
  <c r="D155" i="11"/>
  <c r="J153" i="11"/>
  <c r="P153" i="11" s="1"/>
  <c r="AV152" i="11" l="1"/>
  <c r="AQ152" i="11"/>
  <c r="AL152" i="11"/>
  <c r="T152" i="11"/>
  <c r="AP151" i="11"/>
  <c r="AR151" i="11" s="1"/>
  <c r="AS151" i="11" s="1"/>
  <c r="AU151" i="11"/>
  <c r="AW151" i="11" s="1"/>
  <c r="AX151" i="11" s="1"/>
  <c r="AK151" i="11"/>
  <c r="AM151" i="11" s="1"/>
  <c r="AN151" i="11" s="1"/>
  <c r="J154" i="11"/>
  <c r="P154" i="11" s="1"/>
  <c r="S151" i="11"/>
  <c r="AH151" i="11"/>
  <c r="AI151" i="11" s="1"/>
  <c r="U152" i="11"/>
  <c r="V152" i="11" s="1"/>
  <c r="W152" i="11" s="1"/>
  <c r="Q152" i="11"/>
  <c r="AA155" i="11"/>
  <c r="AB155" i="11" s="1"/>
  <c r="D156" i="11"/>
  <c r="E155" i="11"/>
  <c r="K155" i="11"/>
  <c r="G155" i="11"/>
  <c r="M155" i="11" s="1"/>
  <c r="H155" i="11"/>
  <c r="N155" i="11" s="1"/>
  <c r="Z155" i="11"/>
  <c r="I154" i="11"/>
  <c r="O154" i="11" s="1"/>
  <c r="AU152" i="11" l="1"/>
  <c r="AW152" i="11" s="1"/>
  <c r="AX152" i="11" s="1"/>
  <c r="AP152" i="11"/>
  <c r="AR152" i="11" s="1"/>
  <c r="AS152" i="11" s="1"/>
  <c r="AK152" i="11"/>
  <c r="AM152" i="11" s="1"/>
  <c r="AN152" i="11" s="1"/>
  <c r="Q153" i="11"/>
  <c r="R154" i="11"/>
  <c r="I155" i="11"/>
  <c r="O155" i="11" s="1"/>
  <c r="J155" i="11"/>
  <c r="P155" i="11" s="1"/>
  <c r="H156" i="11"/>
  <c r="N156" i="11" s="1"/>
  <c r="G156" i="11"/>
  <c r="M156" i="11" s="1"/>
  <c r="K156" i="11"/>
  <c r="Z156" i="11"/>
  <c r="D157" i="11"/>
  <c r="E156" i="11"/>
  <c r="AA156" i="11"/>
  <c r="AB156" i="11" s="1"/>
  <c r="AH152" i="11"/>
  <c r="AI152" i="11" s="1"/>
  <c r="S152" i="11"/>
  <c r="R153" i="11"/>
  <c r="U153" i="11"/>
  <c r="V153" i="11" s="1"/>
  <c r="W153" i="11" s="1"/>
  <c r="AQ153" i="11" l="1"/>
  <c r="AV153" i="11"/>
  <c r="AL153" i="11"/>
  <c r="AV154" i="11"/>
  <c r="AQ154" i="11"/>
  <c r="AL154" i="11"/>
  <c r="T154" i="11"/>
  <c r="S153" i="11"/>
  <c r="AU153" i="11"/>
  <c r="AW153" i="11" s="1"/>
  <c r="AX153" i="11" s="1"/>
  <c r="AP153" i="11"/>
  <c r="AK153" i="11"/>
  <c r="AA157" i="11"/>
  <c r="AB157" i="11" s="1"/>
  <c r="H157" i="11"/>
  <c r="N157" i="11" s="1"/>
  <c r="G157" i="11"/>
  <c r="M157" i="11" s="1"/>
  <c r="E157" i="11"/>
  <c r="K157" i="11"/>
  <c r="Z157" i="11"/>
  <c r="J156" i="11"/>
  <c r="P156" i="11" s="1"/>
  <c r="R155" i="11"/>
  <c r="T153" i="11"/>
  <c r="AH153" i="11"/>
  <c r="AI153" i="11" s="1"/>
  <c r="I156" i="11"/>
  <c r="O156" i="11" s="1"/>
  <c r="Q154" i="11"/>
  <c r="U154" i="11"/>
  <c r="V154" i="11" s="1"/>
  <c r="W154" i="11" s="1"/>
  <c r="AR153" i="11" l="1"/>
  <c r="AS153" i="11" s="1"/>
  <c r="AL155" i="11"/>
  <c r="AV155" i="11"/>
  <c r="AQ155" i="11"/>
  <c r="AM153" i="11"/>
  <c r="AN153" i="11" s="1"/>
  <c r="T155" i="11"/>
  <c r="AU154" i="11"/>
  <c r="AW154" i="11" s="1"/>
  <c r="AX154" i="11" s="1"/>
  <c r="AP154" i="11"/>
  <c r="AR154" i="11" s="1"/>
  <c r="AS154" i="11" s="1"/>
  <c r="AK154" i="11"/>
  <c r="AM154" i="11" s="1"/>
  <c r="AN154" i="11" s="1"/>
  <c r="R156" i="11"/>
  <c r="Q155" i="11"/>
  <c r="U155" i="11"/>
  <c r="V155" i="11" s="1"/>
  <c r="W155" i="11" s="1"/>
  <c r="J157" i="11"/>
  <c r="P157" i="11" s="1"/>
  <c r="S154" i="11"/>
  <c r="AH154" i="11"/>
  <c r="AI154" i="11" s="1"/>
  <c r="I157" i="11"/>
  <c r="O157" i="11" s="1"/>
  <c r="AL156" i="11" l="1"/>
  <c r="AV156" i="11"/>
  <c r="AQ156" i="11"/>
  <c r="T156" i="11"/>
  <c r="AU155" i="11"/>
  <c r="AW155" i="11" s="1"/>
  <c r="AX155" i="11" s="1"/>
  <c r="AK155" i="11"/>
  <c r="AM155" i="11" s="1"/>
  <c r="AN155" i="11" s="1"/>
  <c r="AP155" i="11"/>
  <c r="AR155" i="11" s="1"/>
  <c r="AS155" i="11" s="1"/>
  <c r="R157" i="11"/>
  <c r="Q156" i="11"/>
  <c r="U156" i="11"/>
  <c r="V156" i="11" s="1"/>
  <c r="W156" i="11" s="1"/>
  <c r="AH155" i="11"/>
  <c r="AI155" i="11" s="1"/>
  <c r="S155" i="11"/>
  <c r="AL157" i="11" l="1"/>
  <c r="AQ157" i="11"/>
  <c r="AV157" i="11"/>
  <c r="T157" i="11"/>
  <c r="AK156" i="11"/>
  <c r="AM156" i="11" s="1"/>
  <c r="AN156" i="11" s="1"/>
  <c r="AU156" i="11"/>
  <c r="AW156" i="11" s="1"/>
  <c r="AX156" i="11" s="1"/>
  <c r="AP156" i="11"/>
  <c r="AR156" i="11" s="1"/>
  <c r="AS156" i="11" s="1"/>
  <c r="AH156" i="11"/>
  <c r="AI156" i="11" s="1"/>
  <c r="S156" i="11"/>
  <c r="Q157" i="11"/>
  <c r="U157" i="11"/>
  <c r="V157" i="11" s="1"/>
  <c r="W157" i="11" s="1"/>
  <c r="AP157" i="11" l="1"/>
  <c r="AR157" i="11" s="1"/>
  <c r="AS157" i="11" s="1"/>
  <c r="AU157" i="11"/>
  <c r="AW157" i="11" s="1"/>
  <c r="AX157" i="11" s="1"/>
  <c r="AK157" i="11"/>
  <c r="AM157" i="11" s="1"/>
  <c r="AN157" i="11" s="1"/>
  <c r="S157" i="11"/>
  <c r="AH157" i="11"/>
  <c r="AI15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 Mariotti</author>
  </authors>
  <commentList>
    <comment ref="D120" authorId="0" shapeId="0" xr:uid="{00000000-0006-0000-0100-000001000000}">
      <text>
        <r>
          <rPr>
            <b/>
            <sz val="9"/>
            <color indexed="81"/>
            <rFont val="Tahoma"/>
            <family val="2"/>
          </rPr>
          <t>Sergio Mariotti:</t>
        </r>
        <r>
          <rPr>
            <sz val="9"/>
            <color indexed="81"/>
            <rFont val="Tahoma"/>
            <family val="2"/>
          </rPr>
          <t xml:space="preserve">
Found many and different values.
A trusted value for AISI316L may be 45 </t>
        </r>
        <r>
          <rPr>
            <sz val="9"/>
            <color indexed="81"/>
            <rFont val="Symbol"/>
            <family val="1"/>
            <charset val="2"/>
          </rPr>
          <t>mW</t>
        </r>
        <r>
          <rPr>
            <sz val="9"/>
            <color indexed="81"/>
            <rFont val="Tahoma"/>
            <family val="2"/>
          </rPr>
          <t>*cm</t>
        </r>
      </text>
    </comment>
    <comment ref="H120" authorId="0" shapeId="0" xr:uid="{00000000-0006-0000-0100-000002000000}">
      <text>
        <r>
          <rPr>
            <b/>
            <sz val="9"/>
            <color indexed="81"/>
            <rFont val="Tahoma"/>
            <family val="2"/>
          </rPr>
          <t>Sergio Mariotti:</t>
        </r>
        <r>
          <rPr>
            <sz val="9"/>
            <color indexed="81"/>
            <rFont val="Tahoma"/>
            <family val="2"/>
          </rPr>
          <t xml:space="preserve">
</t>
        </r>
        <r>
          <rPr>
            <sz val="9"/>
            <color indexed="81"/>
            <rFont val="Symbol"/>
            <family val="1"/>
            <charset val="2"/>
          </rPr>
          <t>m</t>
        </r>
        <r>
          <rPr>
            <sz val="9"/>
            <color indexed="81"/>
            <rFont val="Tahoma"/>
            <family val="2"/>
          </rPr>
          <t xml:space="preserve">r may be 1 or slightly higher at DC.
In GHz region almost all materials have </t>
        </r>
        <r>
          <rPr>
            <sz val="9"/>
            <color indexed="81"/>
            <rFont val="Symbol"/>
            <family val="1"/>
            <charset val="2"/>
          </rPr>
          <t>m</t>
        </r>
        <r>
          <rPr>
            <sz val="9"/>
            <color indexed="81"/>
            <rFont val="Tahoma"/>
            <family val="2"/>
          </rPr>
          <t>r=1</t>
        </r>
      </text>
    </comment>
  </commentList>
</comments>
</file>

<file path=xl/sharedStrings.xml><?xml version="1.0" encoding="utf-8"?>
<sst xmlns="http://schemas.openxmlformats.org/spreadsheetml/2006/main" count="487" uniqueCount="298">
  <si>
    <t>GHz</t>
  </si>
  <si>
    <t>skin depth</t>
  </si>
  <si>
    <t>m</t>
  </si>
  <si>
    <t>meters</t>
  </si>
  <si>
    <t>dB/m</t>
  </si>
  <si>
    <t>ohms</t>
  </si>
  <si>
    <t>Er</t>
  </si>
  <si>
    <t>ohm-cm</t>
  </si>
  <si>
    <t>ohm-m</t>
  </si>
  <si>
    <t>mhos/m</t>
  </si>
  <si>
    <t>Freq</t>
  </si>
  <si>
    <t>Ohm/m</t>
  </si>
  <si>
    <t>MuR</t>
  </si>
  <si>
    <t>Material</t>
  </si>
  <si>
    <t>Copper</t>
  </si>
  <si>
    <t>Aluminum</t>
  </si>
  <si>
    <t>inches</t>
  </si>
  <si>
    <t>Inside</t>
  </si>
  <si>
    <t>Outside</t>
  </si>
  <si>
    <t>Total</t>
  </si>
  <si>
    <t>N/m</t>
  </si>
  <si>
    <t>R/length</t>
  </si>
  <si>
    <t>Fstop</t>
  </si>
  <si>
    <t>Fstart</t>
  </si>
  <si>
    <t>Resistivity</t>
  </si>
  <si>
    <t>micro-ohm-cm</t>
  </si>
  <si>
    <t>Conductivity</t>
  </si>
  <si>
    <t>Formula</t>
  </si>
  <si>
    <t>Al</t>
  </si>
  <si>
    <t>2.65</t>
  </si>
  <si>
    <t>Carbon</t>
  </si>
  <si>
    <t>C</t>
  </si>
  <si>
    <t>3000</t>
  </si>
  <si>
    <t>Chromium</t>
  </si>
  <si>
    <t>Cr</t>
  </si>
  <si>
    <t>18</t>
  </si>
  <si>
    <t>Cu</t>
  </si>
  <si>
    <t>1.673</t>
  </si>
  <si>
    <t>Gold</t>
  </si>
  <si>
    <t>Au</t>
  </si>
  <si>
    <t>2.44</t>
  </si>
  <si>
    <t>Indium</t>
  </si>
  <si>
    <t>In</t>
  </si>
  <si>
    <t>15.52</t>
  </si>
  <si>
    <t>Iridium</t>
  </si>
  <si>
    <t>Ir</t>
  </si>
  <si>
    <t>5.3</t>
  </si>
  <si>
    <t>Iron</t>
  </si>
  <si>
    <t>Fe</t>
  </si>
  <si>
    <t>9.66</t>
  </si>
  <si>
    <t>Lead</t>
  </si>
  <si>
    <t>Pb</t>
  </si>
  <si>
    <t>20.65</t>
  </si>
  <si>
    <t>Magnesium</t>
  </si>
  <si>
    <t>Mg</t>
  </si>
  <si>
    <t>4.2</t>
  </si>
  <si>
    <t>Nickel</t>
  </si>
  <si>
    <t>Ni</t>
  </si>
  <si>
    <t>8.707</t>
  </si>
  <si>
    <t>Nichrome</t>
  </si>
  <si>
    <t>Ni80/Cr20</t>
  </si>
  <si>
    <t>110</t>
  </si>
  <si>
    <t>Palladium</t>
  </si>
  <si>
    <t>Pd</t>
  </si>
  <si>
    <t>10.62</t>
  </si>
  <si>
    <t>Platinum</t>
  </si>
  <si>
    <t>Pt</t>
  </si>
  <si>
    <t>Rhodium</t>
  </si>
  <si>
    <t>Rh</t>
  </si>
  <si>
    <t>4.51</t>
  </si>
  <si>
    <t>Silver</t>
  </si>
  <si>
    <t>Ag</t>
  </si>
  <si>
    <t>1.59</t>
  </si>
  <si>
    <t>Tantalum</t>
  </si>
  <si>
    <t>Ta</t>
  </si>
  <si>
    <t>Tantalum nitride</t>
  </si>
  <si>
    <t>TaN</t>
  </si>
  <si>
    <t>252</t>
  </si>
  <si>
    <t>Tin (white)</t>
  </si>
  <si>
    <t>Sn</t>
  </si>
  <si>
    <t>11.55</t>
  </si>
  <si>
    <t>Titanium</t>
  </si>
  <si>
    <t>Ti</t>
  </si>
  <si>
    <t>55</t>
  </si>
  <si>
    <t>Tungsten</t>
  </si>
  <si>
    <t>W</t>
  </si>
  <si>
    <t>5.6</t>
  </si>
  <si>
    <t>Zinc</t>
  </si>
  <si>
    <t>Zn</t>
  </si>
  <si>
    <t>5.68</t>
  </si>
  <si>
    <t>Zirconium</t>
  </si>
  <si>
    <t>Zr</t>
  </si>
  <si>
    <t>4.1</t>
  </si>
  <si>
    <t>Silicon (HRS)</t>
  </si>
  <si>
    <t>Si</t>
  </si>
  <si>
    <t>Silicon (LRS)</t>
  </si>
  <si>
    <t>mho-meter</t>
  </si>
  <si>
    <t>ohm-meter</t>
  </si>
  <si>
    <t>outside</t>
  </si>
  <si>
    <t>inside</t>
  </si>
  <si>
    <t>mm</t>
  </si>
  <si>
    <t>D/d</t>
  </si>
  <si>
    <t>pF/meter</t>
  </si>
  <si>
    <t>nH/meter</t>
  </si>
  <si>
    <t>c</t>
  </si>
  <si>
    <t>Constants</t>
  </si>
  <si>
    <t>Lambda</t>
  </si>
  <si>
    <t>Coax calculator</t>
  </si>
  <si>
    <t>mho/meter</t>
  </si>
  <si>
    <t>Outer</t>
  </si>
  <si>
    <t>Inner</t>
  </si>
  <si>
    <t>Conductor material list</t>
  </si>
  <si>
    <t>Cross-section area</t>
  </si>
  <si>
    <t>Don't erase these!</t>
  </si>
  <si>
    <t>H/m</t>
  </si>
  <si>
    <t>Ohms/meter</t>
  </si>
  <si>
    <t>Frequency Independent Calculations</t>
  </si>
  <si>
    <t>meter2</t>
  </si>
  <si>
    <t>dimension "a"</t>
  </si>
  <si>
    <t>dimension "b"</t>
  </si>
  <si>
    <t>dimension "c"</t>
  </si>
  <si>
    <t>a</t>
  </si>
  <si>
    <t>b</t>
  </si>
  <si>
    <t>Dimensions</t>
  </si>
  <si>
    <t>infinity</t>
  </si>
  <si>
    <t>Hz</t>
  </si>
  <si>
    <t>rho inside</t>
  </si>
  <si>
    <t>rho outside</t>
  </si>
  <si>
    <t>mu inside</t>
  </si>
  <si>
    <t>mu outside</t>
  </si>
  <si>
    <t>G/length</t>
  </si>
  <si>
    <t>µ-ohm-cm</t>
  </si>
  <si>
    <t>µR</t>
  </si>
  <si>
    <t>ρ</t>
  </si>
  <si>
    <t>σ</t>
  </si>
  <si>
    <t>Loss tangent loss</t>
  </si>
  <si>
    <t>Dielectric conductivity loss</t>
  </si>
  <si>
    <t>Microwaves101.com</t>
  </si>
  <si>
    <t>meters/second</t>
  </si>
  <si>
    <t>Fcutoff</t>
  </si>
  <si>
    <t>Loss due to loss tangent</t>
  </si>
  <si>
    <t>Enter your favorite frequency!</t>
  </si>
  <si>
    <t>Wavelength</t>
  </si>
  <si>
    <t>Half wavelength</t>
  </si>
  <si>
    <t>Quarter wavelength</t>
  </si>
  <si>
    <t>meter</t>
  </si>
  <si>
    <t>feet</t>
  </si>
  <si>
    <t>dB/foot</t>
  </si>
  <si>
    <t>Metal loss calculation</t>
  </si>
  <si>
    <t>feet/meter</t>
  </si>
  <si>
    <t>dB/inch</t>
  </si>
  <si>
    <t>pF/foot</t>
  </si>
  <si>
    <t>Ohms/foot</t>
  </si>
  <si>
    <t>DC resistance outer conductor</t>
  </si>
  <si>
    <t>Henries/meter</t>
  </si>
  <si>
    <t>c (speed of light)</t>
  </si>
  <si>
    <t>µ0 (permeability of free space)</t>
  </si>
  <si>
    <t>Farads/meter</t>
  </si>
  <si>
    <r>
      <t>ε</t>
    </r>
    <r>
      <rPr>
        <sz val="10"/>
        <rFont val="Arial"/>
        <family val="2"/>
      </rPr>
      <t>0 (permitivity of free space)</t>
    </r>
  </si>
  <si>
    <t>nH/foot</t>
  </si>
  <si>
    <t>Plot range</t>
  </si>
  <si>
    <t>aaa User defined 1</t>
  </si>
  <si>
    <t>aab User defined 2</t>
  </si>
  <si>
    <t>aac User defined 3</t>
  </si>
  <si>
    <t>Some formulas…</t>
  </si>
  <si>
    <t>Geometric increment</t>
  </si>
  <si>
    <t>Foamed PTFE</t>
  </si>
  <si>
    <t>Brass</t>
  </si>
  <si>
    <t>Bronze</t>
  </si>
  <si>
    <t>Stainless steel</t>
  </si>
  <si>
    <t>Air</t>
  </si>
  <si>
    <t>Alumina</t>
  </si>
  <si>
    <t>Glass</t>
  </si>
  <si>
    <t>Mica</t>
  </si>
  <si>
    <t>Polystyrene</t>
  </si>
  <si>
    <t>Quartz (Fuzed)</t>
  </si>
  <si>
    <t>Rexolite - 1422</t>
  </si>
  <si>
    <t>Styrofoam</t>
  </si>
  <si>
    <t>Teflon (PTFE)</t>
  </si>
  <si>
    <t>TanD</t>
  </si>
  <si>
    <t>ohm-meters</t>
  </si>
  <si>
    <t>Notes</t>
  </si>
  <si>
    <t>There are many different glasses</t>
  </si>
  <si>
    <t>Loss due to skin effect</t>
  </si>
  <si>
    <t>Enter concentricity in your units</t>
  </si>
  <si>
    <t>Choose units (inches or mm)</t>
  </si>
  <si>
    <t>Enter diameters in your units</t>
  </si>
  <si>
    <t>Diameter in meters</t>
  </si>
  <si>
    <t>Enter shell thickness in your units</t>
  </si>
  <si>
    <t>Shell thickness in meters</t>
  </si>
  <si>
    <t>Concentricity in meters</t>
  </si>
  <si>
    <t>Outer "D"</t>
  </si>
  <si>
    <t>Inner "d"</t>
  </si>
  <si>
    <t>Z0 if concentric</t>
  </si>
  <si>
    <t>Z0 due to concentricity</t>
  </si>
  <si>
    <t>Use the pull-down material list or</t>
  </si>
  <si>
    <t>overwrite the light blue cells</t>
  </si>
  <si>
    <t>Enter frequency</t>
  </si>
  <si>
    <t>Enter length</t>
  </si>
  <si>
    <t>dB</t>
  </si>
  <si>
    <t>degrees</t>
  </si>
  <si>
    <t>Default is the cutoff frequency</t>
  </si>
  <si>
    <t>Default is 1 Hertz</t>
  </si>
  <si>
    <t>Dielectric conductance loss</t>
  </si>
  <si>
    <t>Siemens/foot</t>
  </si>
  <si>
    <t>% freespace velocity</t>
  </si>
  <si>
    <t>Siemens/meter</t>
  </si>
  <si>
    <t>dB/meter</t>
  </si>
  <si>
    <t>N/A</t>
  </si>
  <si>
    <t>tanD</t>
  </si>
  <si>
    <r>
      <t>e</t>
    </r>
    <r>
      <rPr>
        <sz val="10"/>
        <rFont val="Arial"/>
        <family val="2"/>
      </rPr>
      <t>R</t>
    </r>
  </si>
  <si>
    <t>Enter Coax Geometry</t>
  </si>
  <si>
    <t>Enter Conductor Properties</t>
  </si>
  <si>
    <t>Enter Dielectric Properties</t>
  </si>
  <si>
    <t>Dielectric material list (includes Microwave Engineering Passive Circuits by Peter Rizzi and other references)</t>
  </si>
  <si>
    <t>DC resistance R'</t>
  </si>
  <si>
    <t>Capacitance/length C'</t>
  </si>
  <si>
    <t>Inductance/length L'</t>
  </si>
  <si>
    <t>Dielectric conductance/length G'</t>
  </si>
  <si>
    <t>Velocity of propagation Vp</t>
  </si>
  <si>
    <t>Silicon dioxide</t>
  </si>
  <si>
    <t>Fuzed quartz</t>
  </si>
  <si>
    <t>Wikipedia</t>
  </si>
  <si>
    <t>PTFE (Teflon)</t>
  </si>
  <si>
    <t>Fuzed silica</t>
  </si>
  <si>
    <t>Ohm-meter cells are used in the calculations, overwrite these cells if you want.</t>
  </si>
  <si>
    <t>Overwrite data in light blue fields if you like</t>
  </si>
  <si>
    <t>Caution: material lists must remain in alphabetical order!</t>
  </si>
  <si>
    <t>Composite loss</t>
  </si>
  <si>
    <t>poly Si</t>
  </si>
  <si>
    <t>Enter Roughness</t>
  </si>
  <si>
    <t>Roughness in meters</t>
  </si>
  <si>
    <t>total loss per meter</t>
  </si>
  <si>
    <t>total loss per foot</t>
  </si>
  <si>
    <t>ohmic loss per meter</t>
  </si>
  <si>
    <t>ohmic loss per foot</t>
  </si>
  <si>
    <t>dielectric loss per meter</t>
  </si>
  <si>
    <t>dielectric loss per foot</t>
  </si>
  <si>
    <t>skin effect loss per meter</t>
  </si>
  <si>
    <t>skin effect loss per foot</t>
  </si>
  <si>
    <t>Values for:</t>
  </si>
  <si>
    <t>Length</t>
  </si>
  <si>
    <t>Phase</t>
  </si>
  <si>
    <t>DC resistance inner conductor</t>
  </si>
  <si>
    <t>Bright yellow fields are a pull-down choice</t>
  </si>
  <si>
    <t>Enter numerical data in blue fields</t>
  </si>
  <si>
    <t>TCR</t>
  </si>
  <si>
    <t>Element</t>
  </si>
  <si>
    <t>Molybdenum</t>
  </si>
  <si>
    <t>Steel*</t>
  </si>
  <si>
    <t>Alloy</t>
  </si>
  <si>
    <t>Nichrome V</t>
  </si>
  <si>
    <t>Manganin</t>
  </si>
  <si>
    <t>+/- 0.000015</t>
  </si>
  <si>
    <t>Constantan</t>
  </si>
  <si>
    <t>Data from this web site</t>
  </si>
  <si>
    <t>https://www.allaboutcircuits.com/textbook/direct-current/chpt-12/temperature-coefficient-resistance/</t>
  </si>
  <si>
    <t>No data</t>
  </si>
  <si>
    <t>parts per degree C</t>
  </si>
  <si>
    <t>TCR (parts/C)</t>
  </si>
  <si>
    <t>Surface roughness equation</t>
  </si>
  <si>
    <t>Outside cross-section equivalent area</t>
  </si>
  <si>
    <t>Inside cross section equivalent area</t>
  </si>
  <si>
    <t>Enter three temperatures for temperature plot</t>
  </si>
  <si>
    <t>T1</t>
  </si>
  <si>
    <t>T2</t>
  </si>
  <si>
    <t>T3</t>
  </si>
  <si>
    <t>deg C</t>
  </si>
  <si>
    <t>Data for temperature plot</t>
  </si>
  <si>
    <t>Temp. C</t>
  </si>
  <si>
    <t>TCR inside</t>
  </si>
  <si>
    <t>TCR outside</t>
  </si>
  <si>
    <t>Loss/length outside</t>
  </si>
  <si>
    <t>loss/length inside</t>
  </si>
  <si>
    <t>Total loss at temperature</t>
  </si>
  <si>
    <t>Donut</t>
  </si>
  <si>
    <t>Steel</t>
  </si>
  <si>
    <t>Stainless</t>
  </si>
  <si>
    <t>Reference?</t>
  </si>
  <si>
    <t>Steel, carbon</t>
  </si>
  <si>
    <t>Confirm with supplier!</t>
  </si>
  <si>
    <t>plot labels</t>
  </si>
  <si>
    <t>Inside conductor roughness factor</t>
  </si>
  <si>
    <t>%</t>
  </si>
  <si>
    <t>Single-Point Frequency Dependent Calculations Using Data Entered Above</t>
  </si>
  <si>
    <t>degrees C</t>
  </si>
  <si>
    <t>Temp C</t>
  </si>
  <si>
    <t>Outside conductor loss at temperature</t>
  </si>
  <si>
    <t>Inside conductor loss at temperature</t>
  </si>
  <si>
    <t>This calculation is for the one frequency and temperature that is chosen by the user….</t>
  </si>
  <si>
    <t>At:</t>
  </si>
  <si>
    <t>Total metal loss at temperature</t>
  </si>
  <si>
    <t>Overwrite these if you dare</t>
  </si>
  <si>
    <t>Loss due to dielectric conductivity</t>
  </si>
  <si>
    <t>Total loss</t>
  </si>
  <si>
    <t>Surface roughness factor</t>
  </si>
  <si>
    <t>Roughness coefficients</t>
  </si>
  <si>
    <t>Enter temperature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</si>
</sst>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E+00"/>
  </numFmts>
  <fonts count="13" x14ac:knownFonts="1">
    <font>
      <sz val="10"/>
      <name val="Arial"/>
    </font>
    <font>
      <sz val="10"/>
      <name val="Arial"/>
      <family val="2"/>
    </font>
    <font>
      <sz val="8"/>
      <name val="Arial"/>
      <family val="2"/>
    </font>
    <font>
      <sz val="10"/>
      <name val="Tahoma"/>
      <family val="2"/>
    </font>
    <font>
      <b/>
      <sz val="10"/>
      <name val="Arial"/>
      <family val="2"/>
    </font>
    <font>
      <sz val="10"/>
      <color indexed="10"/>
      <name val="Arial"/>
      <family val="2"/>
    </font>
    <font>
      <sz val="10"/>
      <name val="Arial"/>
      <family val="2"/>
    </font>
    <font>
      <sz val="10"/>
      <name val="Symbol"/>
      <family val="1"/>
      <charset val="2"/>
    </font>
    <font>
      <sz val="9"/>
      <color indexed="81"/>
      <name val="Tahoma"/>
      <family val="2"/>
    </font>
    <font>
      <b/>
      <sz val="9"/>
      <color indexed="81"/>
      <name val="Tahoma"/>
      <family val="2"/>
    </font>
    <font>
      <sz val="9"/>
      <color indexed="81"/>
      <name val="Symbol"/>
      <family val="1"/>
      <charset val="2"/>
    </font>
    <font>
      <sz val="10"/>
      <color indexed="10"/>
      <name val="Arial"/>
      <family val="2"/>
    </font>
    <font>
      <sz val="10"/>
      <color rgb="FF222222"/>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CC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s>
  <cellStyleXfs count="1">
    <xf numFmtId="0" fontId="0" fillId="0" borderId="0"/>
  </cellStyleXfs>
  <cellXfs count="92">
    <xf numFmtId="0" fontId="0" fillId="0" borderId="0" xfId="0"/>
    <xf numFmtId="11" fontId="0" fillId="0" borderId="0" xfId="0" applyNumberFormat="1"/>
    <xf numFmtId="49" fontId="0" fillId="0" borderId="0" xfId="0" applyNumberFormat="1"/>
    <xf numFmtId="11" fontId="3" fillId="2" borderId="0" xfId="0" applyNumberFormat="1" applyFont="1" applyFill="1" applyBorder="1" applyAlignment="1">
      <alignment wrapText="1"/>
    </xf>
    <xf numFmtId="11" fontId="0" fillId="0" borderId="0" xfId="0" applyNumberFormat="1" applyFill="1"/>
    <xf numFmtId="0" fontId="4" fillId="0" borderId="0" xfId="0" applyFont="1"/>
    <xf numFmtId="2" fontId="0" fillId="0" borderId="0" xfId="0" applyNumberFormat="1"/>
    <xf numFmtId="49" fontId="0" fillId="0" borderId="1" xfId="0" applyNumberFormat="1" applyBorder="1"/>
    <xf numFmtId="0" fontId="0" fillId="0" borderId="1" xfId="0" applyBorder="1"/>
    <xf numFmtId="11" fontId="0" fillId="0" borderId="1" xfId="0" applyNumberFormat="1" applyBorder="1"/>
    <xf numFmtId="0" fontId="3" fillId="2" borderId="1" xfId="0" applyFont="1" applyFill="1" applyBorder="1" applyAlignment="1">
      <alignment wrapText="1"/>
    </xf>
    <xf numFmtId="49" fontId="3" fillId="2" borderId="1" xfId="0" applyNumberFormat="1" applyFont="1" applyFill="1" applyBorder="1" applyAlignment="1">
      <alignment wrapText="1"/>
    </xf>
    <xf numFmtId="164" fontId="0" fillId="0" borderId="0" xfId="0" applyNumberFormat="1"/>
    <xf numFmtId="0" fontId="0" fillId="0" borderId="0" xfId="0" applyAlignment="1">
      <alignment wrapText="1"/>
    </xf>
    <xf numFmtId="0" fontId="5" fillId="0" borderId="0" xfId="0" applyFont="1"/>
    <xf numFmtId="0" fontId="5" fillId="0" borderId="0" xfId="0" applyFont="1" applyAlignment="1">
      <alignment wrapText="1"/>
    </xf>
    <xf numFmtId="11" fontId="5" fillId="0" borderId="0" xfId="0" applyNumberFormat="1" applyFont="1"/>
    <xf numFmtId="0" fontId="1" fillId="0" borderId="0" xfId="0" applyFont="1"/>
    <xf numFmtId="0" fontId="1" fillId="0" borderId="0" xfId="0" applyFont="1" applyAlignment="1">
      <alignment wrapText="1"/>
    </xf>
    <xf numFmtId="11" fontId="1" fillId="0" borderId="0" xfId="0" applyNumberFormat="1" applyFont="1"/>
    <xf numFmtId="0" fontId="0" fillId="0" borderId="0" xfId="0" applyNumberFormat="1"/>
    <xf numFmtId="2" fontId="4" fillId="0" borderId="0" xfId="0" applyNumberFormat="1" applyFont="1"/>
    <xf numFmtId="0" fontId="0" fillId="0" borderId="0" xfId="0" applyAlignment="1"/>
    <xf numFmtId="0" fontId="0" fillId="0" borderId="1" xfId="0" applyNumberFormat="1" applyBorder="1"/>
    <xf numFmtId="10" fontId="0" fillId="0" borderId="0" xfId="0" applyNumberFormat="1"/>
    <xf numFmtId="0" fontId="6" fillId="0" borderId="0" xfId="0" applyFont="1"/>
    <xf numFmtId="165" fontId="0" fillId="0" borderId="0" xfId="0" applyNumberFormat="1"/>
    <xf numFmtId="165" fontId="3" fillId="0" borderId="0" xfId="0" applyNumberFormat="1" applyFont="1"/>
    <xf numFmtId="49" fontId="0" fillId="0" borderId="0" xfId="0" applyNumberFormat="1" applyFill="1" applyBorder="1"/>
    <xf numFmtId="0" fontId="0" fillId="0" borderId="0" xfId="0" applyFill="1" applyBorder="1"/>
    <xf numFmtId="0" fontId="0" fillId="0" borderId="0" xfId="0" applyNumberFormat="1" applyFill="1" applyBorder="1" applyAlignment="1">
      <alignment horizontal="right"/>
    </xf>
    <xf numFmtId="11" fontId="0" fillId="0" borderId="0" xfId="0" applyNumberFormat="1" applyFill="1" applyAlignment="1">
      <alignment horizontal="right"/>
    </xf>
    <xf numFmtId="0" fontId="0" fillId="0" borderId="0" xfId="0" applyFill="1" applyAlignment="1">
      <alignment horizontal="right"/>
    </xf>
    <xf numFmtId="0" fontId="0" fillId="0" borderId="0" xfId="0" applyAlignment="1">
      <alignment horizontal="right"/>
    </xf>
    <xf numFmtId="0" fontId="7" fillId="0" borderId="0" xfId="0" applyFont="1"/>
    <xf numFmtId="49" fontId="0" fillId="3" borderId="1" xfId="0" applyNumberFormat="1" applyFill="1" applyBorder="1"/>
    <xf numFmtId="0" fontId="0" fillId="3" borderId="1" xfId="0" applyFill="1" applyBorder="1"/>
    <xf numFmtId="0" fontId="0" fillId="4" borderId="0" xfId="0" applyFill="1"/>
    <xf numFmtId="0" fontId="4" fillId="4" borderId="0" xfId="0" applyFont="1" applyFill="1"/>
    <xf numFmtId="0" fontId="0" fillId="3" borderId="1" xfId="0" applyNumberFormat="1" applyFill="1" applyBorder="1" applyAlignment="1">
      <alignment horizontal="right"/>
    </xf>
    <xf numFmtId="11" fontId="0" fillId="4" borderId="0" xfId="0" applyNumberFormat="1" applyFill="1"/>
    <xf numFmtId="11" fontId="0" fillId="3" borderId="0" xfId="0" applyNumberFormat="1" applyFill="1" applyAlignment="1">
      <alignment horizontal="right"/>
    </xf>
    <xf numFmtId="0" fontId="0" fillId="3" borderId="0" xfId="0" applyFill="1" applyAlignment="1">
      <alignment horizontal="right"/>
    </xf>
    <xf numFmtId="2" fontId="0" fillId="3" borderId="0" xfId="0" applyNumberFormat="1" applyFill="1" applyAlignment="1">
      <alignment horizontal="right"/>
    </xf>
    <xf numFmtId="0" fontId="4" fillId="0" borderId="0" xfId="0" applyNumberFormat="1" applyFont="1"/>
    <xf numFmtId="164" fontId="4" fillId="0" borderId="0" xfId="0" applyNumberFormat="1" applyFont="1"/>
    <xf numFmtId="0" fontId="11" fillId="0" borderId="0" xfId="0" applyFont="1" applyAlignment="1">
      <alignment wrapText="1"/>
    </xf>
    <xf numFmtId="0" fontId="6" fillId="4" borderId="0" xfId="0" applyFont="1" applyFill="1"/>
    <xf numFmtId="11" fontId="6" fillId="0" borderId="0" xfId="0" applyNumberFormat="1" applyFont="1"/>
    <xf numFmtId="0" fontId="0" fillId="5" borderId="0" xfId="0" applyFill="1"/>
    <xf numFmtId="0" fontId="6" fillId="5" borderId="0" xfId="0" applyFont="1" applyFill="1"/>
    <xf numFmtId="0" fontId="4" fillId="5" borderId="0" xfId="0" applyFont="1" applyFill="1"/>
    <xf numFmtId="0" fontId="6" fillId="5" borderId="0" xfId="0" applyNumberFormat="1" applyFont="1" applyFill="1" applyAlignment="1">
      <alignment horizontal="center"/>
    </xf>
    <xf numFmtId="0" fontId="0" fillId="6" borderId="0" xfId="0" applyNumberFormat="1" applyFill="1"/>
    <xf numFmtId="0" fontId="6" fillId="6" borderId="0" xfId="0" applyNumberFormat="1" applyFont="1" applyFill="1" applyAlignment="1">
      <alignment horizontal="center"/>
    </xf>
    <xf numFmtId="0" fontId="0" fillId="6" borderId="0" xfId="0" applyFill="1"/>
    <xf numFmtId="2" fontId="0" fillId="6" borderId="0" xfId="0" applyNumberFormat="1" applyFill="1"/>
    <xf numFmtId="0" fontId="0" fillId="7" borderId="0" xfId="0" applyFill="1"/>
    <xf numFmtId="11" fontId="0" fillId="7" borderId="0" xfId="0" applyNumberFormat="1" applyFill="1"/>
    <xf numFmtId="15" fontId="4" fillId="7" borderId="0" xfId="0" applyNumberFormat="1" applyFont="1" applyFill="1"/>
    <xf numFmtId="0" fontId="4" fillId="8" borderId="0" xfId="0" applyFont="1" applyFill="1"/>
    <xf numFmtId="0" fontId="0" fillId="8" borderId="0" xfId="0" applyFill="1"/>
    <xf numFmtId="0" fontId="0" fillId="0" borderId="0" xfId="0" applyAlignment="1">
      <alignment vertical="center" wrapText="1"/>
    </xf>
    <xf numFmtId="0" fontId="0" fillId="0" borderId="1" xfId="0" applyFill="1" applyBorder="1"/>
    <xf numFmtId="11" fontId="6" fillId="0" borderId="0" xfId="0" applyNumberFormat="1" applyFont="1" applyFill="1" applyAlignment="1">
      <alignment horizontal="right"/>
    </xf>
    <xf numFmtId="0" fontId="6" fillId="0" borderId="0" xfId="0" applyFont="1" applyAlignment="1">
      <alignment wrapText="1"/>
    </xf>
    <xf numFmtId="49" fontId="6" fillId="0" borderId="1" xfId="0" applyNumberFormat="1" applyFont="1" applyBorder="1"/>
    <xf numFmtId="11" fontId="6" fillId="0" borderId="1" xfId="0" applyNumberFormat="1" applyFont="1" applyBorder="1"/>
    <xf numFmtId="0" fontId="3" fillId="2" borderId="1" xfId="0" applyNumberFormat="1" applyFont="1" applyFill="1" applyBorder="1" applyAlignment="1">
      <alignment horizontal="right" wrapText="1"/>
    </xf>
    <xf numFmtId="11" fontId="3" fillId="2" borderId="1" xfId="0" applyNumberFormat="1" applyFont="1" applyFill="1" applyBorder="1" applyAlignment="1">
      <alignment horizontal="right" wrapText="1"/>
    </xf>
    <xf numFmtId="0" fontId="0" fillId="0" borderId="3" xfId="0" applyFont="1" applyFill="1" applyBorder="1"/>
    <xf numFmtId="0" fontId="6" fillId="0" borderId="1" xfId="0" applyFont="1" applyBorder="1"/>
    <xf numFmtId="0" fontId="6" fillId="0" borderId="1" xfId="0" applyFont="1" applyBorder="1" applyAlignment="1">
      <alignment horizontal="right"/>
    </xf>
    <xf numFmtId="0" fontId="6" fillId="0" borderId="1" xfId="0" applyFont="1" applyBorder="1" applyAlignment="1">
      <alignment horizontal="right" vertical="center" wrapText="1"/>
    </xf>
    <xf numFmtId="0" fontId="6" fillId="6" borderId="1" xfId="0" applyFont="1" applyFill="1" applyBorder="1"/>
    <xf numFmtId="0" fontId="0" fillId="6" borderId="1" xfId="0" applyFill="1" applyBorder="1" applyAlignment="1">
      <alignment horizontal="center"/>
    </xf>
    <xf numFmtId="0" fontId="6" fillId="6" borderId="1" xfId="0" applyNumberFormat="1" applyFont="1" applyFill="1" applyBorder="1"/>
    <xf numFmtId="0" fontId="6" fillId="6" borderId="1" xfId="0" applyFont="1" applyFill="1" applyBorder="1" applyAlignment="1">
      <alignment horizontal="center"/>
    </xf>
    <xf numFmtId="0" fontId="0" fillId="6" borderId="1" xfId="0" applyNumberFormat="1" applyFill="1" applyBorder="1"/>
    <xf numFmtId="0" fontId="0" fillId="6" borderId="1" xfId="0" applyFill="1" applyBorder="1"/>
    <xf numFmtId="11" fontId="0" fillId="0" borderId="1" xfId="0" applyNumberFormat="1" applyFont="1" applyBorder="1"/>
    <xf numFmtId="9" fontId="0" fillId="0" borderId="1" xfId="0" applyNumberFormat="1" applyBorder="1"/>
    <xf numFmtId="0" fontId="0" fillId="6" borderId="1" xfId="0" applyFont="1" applyFill="1" applyBorder="1"/>
    <xf numFmtId="0" fontId="4" fillId="6" borderId="1" xfId="0" applyFont="1" applyFill="1" applyBorder="1"/>
    <xf numFmtId="0" fontId="0" fillId="6" borderId="2" xfId="0" applyFill="1" applyBorder="1" applyAlignment="1">
      <alignment horizontal="center"/>
    </xf>
    <xf numFmtId="0" fontId="0" fillId="6" borderId="2" xfId="0" applyFill="1" applyBorder="1"/>
    <xf numFmtId="0" fontId="0" fillId="7" borderId="0" xfId="0" applyNumberFormat="1" applyFill="1"/>
    <xf numFmtId="0" fontId="1" fillId="0" borderId="2" xfId="0" applyFont="1" applyBorder="1"/>
    <xf numFmtId="0" fontId="1" fillId="0" borderId="1" xfId="0" applyFont="1" applyBorder="1"/>
    <xf numFmtId="0" fontId="1" fillId="0" borderId="0" xfId="0" quotePrefix="1" applyFont="1"/>
    <xf numFmtId="0" fontId="12" fillId="0" borderId="0" xfId="0" applyFont="1"/>
    <xf numFmtId="0" fontId="1" fillId="0" borderId="0" xfId="0" applyFont="1" applyAlignment="1"/>
  </cellXfs>
  <cellStyles count="1">
    <cellStyle name="Normal"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styles" Target="styles.xml"/><Relationship Id="rId10" Type="http://schemas.openxmlformats.org/officeDocument/2006/relationships/chartsheet" Target="chartsheets/sheet7.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Coax loss at three temperatures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Calcs!$AK$8</c:f>
              <c:strCache>
                <c:ptCount val="1"/>
                <c:pt idx="0">
                  <c:v>-54 C</c:v>
                </c:pt>
              </c:strCache>
            </c:strRef>
          </c:tx>
          <c:spPr>
            <a:ln w="19050" cap="rnd">
              <a:solidFill>
                <a:schemeClr val="accent1"/>
              </a:solidFill>
              <a:round/>
            </a:ln>
            <a:effectLst/>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Calcs!$AN$13:$AN$157</c:f>
              <c:numCache>
                <c:formatCode>0.00E+00</c:formatCode>
                <c:ptCount val="145"/>
                <c:pt idx="0">
                  <c:v>1.8378365660593865E-2</c:v>
                </c:pt>
                <c:pt idx="1">
                  <c:v>1.839220567474574E-2</c:v>
                </c:pt>
                <c:pt idx="2">
                  <c:v>1.839349161312518E-2</c:v>
                </c:pt>
                <c:pt idx="3">
                  <c:v>1.8394897062758389E-2</c:v>
                </c:pt>
                <c:pt idx="4">
                  <c:v>1.8396433138377646E-2</c:v>
                </c:pt>
                <c:pt idx="5">
                  <c:v>1.839811198677542E-2</c:v>
                </c:pt>
                <c:pt idx="6">
                  <c:v>1.8399946886180324E-2</c:v>
                </c:pt>
                <c:pt idx="7">
                  <c:v>1.8401952352290769E-2</c:v>
                </c:pt>
                <c:pt idx="8">
                  <c:v>1.8404144252028739E-2</c:v>
                </c:pt>
                <c:pt idx="9">
                  <c:v>1.8406539930917964E-2</c:v>
                </c:pt>
                <c:pt idx="10">
                  <c:v>1.8409158351121307E-2</c:v>
                </c:pt>
                <c:pt idx="11">
                  <c:v>1.8412020242340309E-2</c:v>
                </c:pt>
                <c:pt idx="12">
                  <c:v>1.8415148267853457E-2</c:v>
                </c:pt>
                <c:pt idx="13">
                  <c:v>1.8418567204650772E-2</c:v>
                </c:pt>
                <c:pt idx="14">
                  <c:v>1.8422304142445989E-2</c:v>
                </c:pt>
                <c:pt idx="15">
                  <c:v>1.842638870006914E-2</c:v>
                </c:pt>
                <c:pt idx="16">
                  <c:v>1.843085326301247E-2</c:v>
                </c:pt>
                <c:pt idx="17">
                  <c:v>1.8435733243589901E-2</c:v>
                </c:pt>
                <c:pt idx="18">
                  <c:v>1.8441067365268692E-2</c:v>
                </c:pt>
                <c:pt idx="19">
                  <c:v>1.8446897974817258E-2</c:v>
                </c:pt>
                <c:pt idx="20">
                  <c:v>1.8453271383862335E-2</c:v>
                </c:pt>
                <c:pt idx="21">
                  <c:v>1.8460238243137517E-2</c:v>
                </c:pt>
                <c:pt idx="22">
                  <c:v>1.8467853952884899E-2</c:v>
                </c:pt>
                <c:pt idx="23">
                  <c:v>1.8476179112610555E-2</c:v>
                </c:pt>
                <c:pt idx="24">
                  <c:v>1.8485280014283147E-2</c:v>
                </c:pt>
                <c:pt idx="25">
                  <c:v>1.8495229183462837E-2</c:v>
                </c:pt>
                <c:pt idx="26">
                  <c:v>1.8506105972997851E-2</c:v>
                </c:pt>
                <c:pt idx="27">
                  <c:v>1.8517997214637306E-2</c:v>
                </c:pt>
                <c:pt idx="28">
                  <c:v>1.8530997934686839E-2</c:v>
                </c:pt>
                <c:pt idx="29">
                  <c:v>1.8545212140095926E-2</c:v>
                </c:pt>
                <c:pt idx="30">
                  <c:v>1.8560753682402006E-2</c:v>
                </c:pt>
                <c:pt idx="31">
                  <c:v>1.8577747207671379E-2</c:v>
                </c:pt>
                <c:pt idx="32">
                  <c:v>1.8596329201516694E-2</c:v>
                </c:pt>
                <c:pt idx="33">
                  <c:v>1.8616649139367166E-2</c:v>
                </c:pt>
                <c:pt idx="34">
                  <c:v>1.8638870753317119E-2</c:v>
                </c:pt>
                <c:pt idx="35">
                  <c:v>1.8663173428246548E-2</c:v>
                </c:pt>
                <c:pt idx="36">
                  <c:v>1.8689753741455407E-2</c:v>
                </c:pt>
                <c:pt idx="37">
                  <c:v>1.8718827161802679E-2</c:v>
                </c:pt>
                <c:pt idx="38">
                  <c:v>1.8750629926277494E-2</c:v>
                </c:pt>
                <c:pt idx="39">
                  <c:v>1.8785421114254994E-2</c:v>
                </c:pt>
                <c:pt idx="40">
                  <c:v>1.8823484942235246E-2</c:v>
                </c:pt>
                <c:pt idx="41">
                  <c:v>1.886513330483686E-2</c:v>
                </c:pt>
                <c:pt idx="42">
                  <c:v>1.8910708591168914E-2</c:v>
                </c:pt>
                <c:pt idx="43">
                  <c:v>1.8960586809613378E-2</c:v>
                </c:pt>
                <c:pt idx="44">
                  <c:v>1.9015181058467393E-2</c:v>
                </c:pt>
                <c:pt idx="45">
                  <c:v>1.9074945385008108E-2</c:v>
                </c:pt>
                <c:pt idx="46">
                  <c:v>1.9140379081390942E-2</c:v>
                </c:pt>
                <c:pt idx="47">
                  <c:v>1.9212031472543134E-2</c:v>
                </c:pt>
                <c:pt idx="48">
                  <c:v>1.9290507258942782E-2</c:v>
                </c:pt>
                <c:pt idx="49">
                  <c:v>1.9376472486080345E-2</c:v>
                </c:pt>
                <c:pt idx="50">
                  <c:v>1.9470661222633311E-2</c:v>
                </c:pt>
                <c:pt idx="51">
                  <c:v>1.9573883041121717E-2</c:v>
                </c:pt>
                <c:pt idx="52">
                  <c:v>1.9687031408294448E-2</c:v>
                </c:pt>
                <c:pt idx="53">
                  <c:v>1.9811093107921219E-2</c:v>
                </c:pt>
                <c:pt idx="54">
                  <c:v>1.9947158836289745E-2</c:v>
                </c:pt>
                <c:pt idx="55">
                  <c:v>2.0096435130790912E-2</c:v>
                </c:pt>
                <c:pt idx="56">
                  <c:v>2.0260257814751118E-2</c:v>
                </c:pt>
                <c:pt idx="57">
                  <c:v>2.0440107167395468E-2</c:v>
                </c:pt>
                <c:pt idx="58">
                  <c:v>2.0637625056676493E-2</c:v>
                </c:pt>
                <c:pt idx="59">
                  <c:v>2.0854634304811236E-2</c:v>
                </c:pt>
                <c:pt idx="60">
                  <c:v>2.1093160591721193E-2</c:v>
                </c:pt>
                <c:pt idx="61">
                  <c:v>2.1355457239966975E-2</c:v>
                </c:pt>
                <c:pt idx="62">
                  <c:v>2.1644033265715873E-2</c:v>
                </c:pt>
                <c:pt idx="63">
                  <c:v>2.1961685122866208E-2</c:v>
                </c:pt>
                <c:pt idx="64">
                  <c:v>2.2311532610174607E-2</c:v>
                </c:pt>
                <c:pt idx="65">
                  <c:v>2.269705945178304E-2</c:v>
                </c:pt>
                <c:pt idx="66">
                  <c:v>2.3122159096534315E-2</c:v>
                </c:pt>
                <c:pt idx="67">
                  <c:v>2.3591186306100718E-2</c:v>
                </c:pt>
                <c:pt idx="68">
                  <c:v>2.410901510964758E-2</c:v>
                </c:pt>
                <c:pt idx="69">
                  <c:v>2.4681103684739816E-2</c:v>
                </c:pt>
                <c:pt idx="70">
                  <c:v>2.5313566669153718E-2</c:v>
                </c:pt>
                <c:pt idx="71">
                  <c:v>2.6013255302082091E-2</c:v>
                </c:pt>
                <c:pt idx="72">
                  <c:v>2.6787845619157518E-2</c:v>
                </c:pt>
                <c:pt idx="73">
                  <c:v>2.764593466506331E-2</c:v>
                </c:pt>
                <c:pt idx="74">
                  <c:v>2.859714432140514E-2</c:v>
                </c:pt>
                <c:pt idx="75">
                  <c:v>2.9652231860428702E-2</c:v>
                </c:pt>
                <c:pt idx="76">
                  <c:v>3.0823205720720007E-2</c:v>
                </c:pt>
                <c:pt idx="77">
                  <c:v>3.2123444271140021E-2</c:v>
                </c:pt>
                <c:pt idx="78">
                  <c:v>3.3567814527042876E-2</c:v>
                </c:pt>
                <c:pt idx="79">
                  <c:v>3.5172786999097712E-2</c:v>
                </c:pt>
                <c:pt idx="80">
                  <c:v>3.6956542246234764E-2</c:v>
                </c:pt>
                <c:pt idx="81">
                  <c:v>3.8939064506768463E-2</c:v>
                </c:pt>
                <c:pt idx="82">
                  <c:v>4.1142218312583578E-2</c:v>
                </c:pt>
                <c:pt idx="83">
                  <c:v>4.3589805619430239E-2</c:v>
                </c:pt>
                <c:pt idx="84">
                  <c:v>4.6307604056464224E-2</c:v>
                </c:pt>
                <c:pt idx="85">
                  <c:v>4.9323391591139042E-2</c:v>
                </c:pt>
                <c:pt idx="86">
                  <c:v>5.2666969041526138E-2</c:v>
                </c:pt>
                <c:pt idx="87">
                  <c:v>5.6370198697326214E-2</c:v>
                </c:pt>
                <c:pt idx="88">
                  <c:v>6.0467083396519891E-2</c:v>
                </c:pt>
                <c:pt idx="89">
                  <c:v>6.4993913748714299E-2</c:v>
                </c:pt>
                <c:pt idx="90">
                  <c:v>6.9989509738632619E-2</c:v>
                </c:pt>
                <c:pt idx="91">
                  <c:v>7.5495575424229647E-2</c:v>
                </c:pt>
                <c:pt idx="92">
                  <c:v>8.1557172359255345E-2</c:v>
                </c:pt>
                <c:pt idx="93">
                  <c:v>8.8223301493869546E-2</c:v>
                </c:pt>
                <c:pt idx="94">
                  <c:v>9.5547569244712402E-2</c:v>
                </c:pt>
                <c:pt idx="95">
                  <c:v>0.10358890605472987</c:v>
                </c:pt>
                <c:pt idx="96">
                  <c:v>0.11241230810958092</c:v>
                </c:pt>
                <c:pt idx="97">
                  <c:v>0.12208958452983297</c:v>
                </c:pt>
                <c:pt idx="98">
                  <c:v>0.13270010941695859</c:v>
                </c:pt>
                <c:pt idx="99">
                  <c:v>0.14433159489178107</c:v>
                </c:pt>
                <c:pt idx="100">
                  <c:v>0.15708091278376909</c:v>
                </c:pt>
                <c:pt idx="101">
                  <c:v>0.17105499678309777</c:v>
                </c:pt>
                <c:pt idx="102">
                  <c:v>0.18637185482774385</c:v>
                </c:pt>
                <c:pt idx="103">
                  <c:v>0.20316171656357465</c:v>
                </c:pt>
                <c:pt idx="104">
                  <c:v>0.22156833636505019</c:v>
                </c:pt>
                <c:pt idx="105">
                  <c:v>0.24175047077034084</c:v>
                </c:pt>
                <c:pt idx="106">
                  <c:v>0.26388355065558794</c:v>
                </c:pt>
                <c:pt idx="107">
                  <c:v>0.28816157229072908</c:v>
                </c:pt>
                <c:pt idx="108">
                  <c:v>0.31479923659298986</c:v>
                </c:pt>
                <c:pt idx="109">
                  <c:v>0.34403437180574131</c:v>
                </c:pt>
                <c:pt idx="110">
                  <c:v>0.37613068135283934</c:v>
                </c:pt>
                <c:pt idx="111">
                  <c:v>0.41138086594197898</c:v>
                </c:pt>
                <c:pt idx="112">
                  <c:v>0.45011017742156906</c:v>
                </c:pt>
                <c:pt idx="113">
                  <c:v>0.49268047175562379</c:v>
                </c:pt>
                <c:pt idx="114">
                  <c:v>0.53949484009428827</c:v>
                </c:pt>
                <c:pt idx="115">
                  <c:v>0.59100291063429111</c:v>
                </c:pt>
                <c:pt idx="116">
                  <c:v>0.64770693018647496</c:v>
                </c:pt>
                <c:pt idx="117">
                  <c:v>0.71016875357163167</c:v>
                </c:pt>
                <c:pt idx="118">
                  <c:v>0.77901789171599489</c:v>
                </c:pt>
                <c:pt idx="119">
                  <c:v>0.85496079628677724</c:v>
                </c:pt>
                <c:pt idx="120">
                  <c:v>0.93879159069798634</c:v>
                </c:pt>
                <c:pt idx="121">
                  <c:v>1.0314044952834633</c:v>
                </c:pt>
                <c:pt idx="122">
                  <c:v>1.1338082395174669</c:v>
                </c:pt>
                <c:pt idx="123">
                  <c:v>1.2471428077226188</c:v>
                </c:pt>
                <c:pt idx="124">
                  <c:v>1.3726989283618745</c:v>
                </c:pt>
                <c:pt idx="125">
                  <c:v>1.5119407926994706</c:v>
                </c:pt>
                <c:pt idx="126">
                  <c:v>1.6665325786427372</c:v>
                </c:pt>
                <c:pt idx="127">
                  <c:v>1.8383694626951657</c:v>
                </c:pt>
                <c:pt idx="128">
                  <c:v>2.029613930445918</c:v>
                </c:pt>
                <c:pt idx="129">
                  <c:v>2.2427383478119731</c:v>
                </c:pt>
                <c:pt idx="130">
                  <c:v>2.4805749360142864</c:v>
                </c:pt>
                <c:pt idx="131">
                  <c:v>2.7463745085921012</c:v>
                </c:pt>
                <c:pt idx="132">
                  <c:v>3.0438755853038453</c:v>
                </c:pt>
                <c:pt idx="133">
                  <c:v>3.377385803483774</c:v>
                </c:pt>
                <c:pt idx="134">
                  <c:v>3.7518779118161705</c:v>
                </c:pt>
                <c:pt idx="135">
                  <c:v>4.1731030658892365</c:v>
                </c:pt>
                <c:pt idx="136">
                  <c:v>4.6477246628319193</c:v>
                </c:pt>
                <c:pt idx="137">
                  <c:v>5.183476569975328</c:v>
                </c:pt>
                <c:pt idx="138">
                  <c:v>5.789350339106349</c:v>
                </c:pt>
                <c:pt idx="139">
                  <c:v>6.4758168765260962</c:v>
                </c:pt>
                <c:pt idx="140">
                  <c:v>7.2550890872899085</c:v>
                </c:pt>
                <c:pt idx="141">
                  <c:v>8.1414332625248669</c:v>
                </c:pt>
                <c:pt idx="142">
                  <c:v>9.1515384708039704</c:v>
                </c:pt>
                <c:pt idx="143">
                  <c:v>10.304954995022065</c:v>
                </c:pt>
                <c:pt idx="144">
                  <c:v>11.624614980976045</c:v>
                </c:pt>
              </c:numCache>
            </c:numRef>
          </c:yVal>
          <c:smooth val="1"/>
          <c:extLst>
            <c:ext xmlns:c16="http://schemas.microsoft.com/office/drawing/2014/chart" uri="{C3380CC4-5D6E-409C-BE32-E72D297353CC}">
              <c16:uniqueId val="{00000000-826B-4BB6-A58F-29FB21A6867F}"/>
            </c:ext>
          </c:extLst>
        </c:ser>
        <c:ser>
          <c:idx val="1"/>
          <c:order val="1"/>
          <c:tx>
            <c:strRef>
              <c:f>Calcs!$AP$8</c:f>
              <c:strCache>
                <c:ptCount val="1"/>
                <c:pt idx="0">
                  <c:v>25 C</c:v>
                </c:pt>
              </c:strCache>
            </c:strRef>
          </c:tx>
          <c:spPr>
            <a:ln w="19050" cap="rnd">
              <a:solidFill>
                <a:schemeClr val="accent2"/>
              </a:solidFill>
              <a:round/>
            </a:ln>
            <a:effectLst/>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Calcs!$AS$13:$AS$157</c:f>
              <c:numCache>
                <c:formatCode>0.00E+00</c:formatCode>
                <c:ptCount val="145"/>
                <c:pt idx="0">
                  <c:v>2.6996795733882382E-2</c:v>
                </c:pt>
                <c:pt idx="1">
                  <c:v>2.7017125925417069E-2</c:v>
                </c:pt>
                <c:pt idx="2">
                  <c:v>2.7019014893679763E-2</c:v>
                </c:pt>
                <c:pt idx="3">
                  <c:v>2.7021079416617733E-2</c:v>
                </c:pt>
                <c:pt idx="4">
                  <c:v>2.7023335821017395E-2</c:v>
                </c:pt>
                <c:pt idx="5">
                  <c:v>2.7025801949677603E-2</c:v>
                </c:pt>
                <c:pt idx="6">
                  <c:v>2.7028497307382247E-2</c:v>
                </c:pt>
                <c:pt idx="7">
                  <c:v>2.7031443216651602E-2</c:v>
                </c:pt>
                <c:pt idx="8">
                  <c:v>2.7034662984832977E-2</c:v>
                </c:pt>
                <c:pt idx="9">
                  <c:v>2.703818209120333E-2</c:v>
                </c:pt>
                <c:pt idx="10">
                  <c:v>2.7042028389728048E-2</c:v>
                </c:pt>
                <c:pt idx="11">
                  <c:v>2.7046232330711427E-2</c:v>
                </c:pt>
                <c:pt idx="12">
                  <c:v>2.7050827204682687E-2</c:v>
                </c:pt>
                <c:pt idx="13">
                  <c:v>2.7055849406985768E-2</c:v>
                </c:pt>
                <c:pt idx="14">
                  <c:v>2.7061338730095801E-2</c:v>
                </c:pt>
                <c:pt idx="15">
                  <c:v>2.7067338681462241E-2</c:v>
                </c:pt>
                <c:pt idx="16">
                  <c:v>2.7073896832420164E-2</c:v>
                </c:pt>
                <c:pt idx="17">
                  <c:v>2.7081065200313618E-2</c:v>
                </c:pt>
                <c:pt idx="18">
                  <c:v>2.7088900666119575E-2</c:v>
                </c:pt>
                <c:pt idx="19">
                  <c:v>2.7097465432923771E-2</c:v>
                </c:pt>
                <c:pt idx="20">
                  <c:v>2.7106827527587193E-2</c:v>
                </c:pt>
                <c:pt idx="21">
                  <c:v>2.7117061350422272E-2</c:v>
                </c:pt>
                <c:pt idx="22">
                  <c:v>2.7128248277961623E-2</c:v>
                </c:pt>
                <c:pt idx="23">
                  <c:v>2.714047732351817E-2</c:v>
                </c:pt>
                <c:pt idx="24">
                  <c:v>2.7153845861540255E-2</c:v>
                </c:pt>
                <c:pt idx="25">
                  <c:v>2.7168460422349192E-2</c:v>
                </c:pt>
                <c:pt idx="26">
                  <c:v>2.7184437564066459E-2</c:v>
                </c:pt>
                <c:pt idx="27">
                  <c:v>2.720190482958167E-2</c:v>
                </c:pt>
                <c:pt idx="28">
                  <c:v>2.7221001797554059E-2</c:v>
                </c:pt>
                <c:pt idx="29">
                  <c:v>2.7241881236824275E-2</c:v>
                </c:pt>
                <c:pt idx="30">
                  <c:v>2.7264710375133831E-2</c:v>
                </c:pt>
                <c:pt idx="31">
                  <c:v>2.7289672294097869E-2</c:v>
                </c:pt>
                <c:pt idx="32">
                  <c:v>2.731696746375499E-2</c:v>
                </c:pt>
                <c:pt idx="33">
                  <c:v>2.7346815431625954E-2</c:v>
                </c:pt>
                <c:pt idx="34">
                  <c:v>2.7379456682898023E-2</c:v>
                </c:pt>
                <c:pt idx="35">
                  <c:v>2.7415154690357785E-2</c:v>
                </c:pt>
                <c:pt idx="36">
                  <c:v>2.7454198174964532E-2</c:v>
                </c:pt>
                <c:pt idx="37">
                  <c:v>2.7496903600520414E-2</c:v>
                </c:pt>
                <c:pt idx="38">
                  <c:v>2.754361792873147E-2</c:v>
                </c:pt>
                <c:pt idx="39">
                  <c:v>2.7594721664361482E-2</c:v>
                </c:pt>
                <c:pt idx="40">
                  <c:v>2.7650632223910742E-2</c:v>
                </c:pt>
                <c:pt idx="41">
                  <c:v>2.7711807665608469E-2</c:v>
                </c:pt>
                <c:pt idx="42">
                  <c:v>2.7778750823417835E-2</c:v>
                </c:pt>
                <c:pt idx="43">
                  <c:v>2.7852013893478418E-2</c:v>
                </c:pt>
                <c:pt idx="44">
                  <c:v>2.7932203527880339E-2</c:v>
                </c:pt>
                <c:pt idx="45">
                  <c:v>2.8019986498152905E-2</c:v>
                </c:pt>
                <c:pt idx="46">
                  <c:v>2.8116095999414042E-2</c:v>
                </c:pt>
                <c:pt idx="47">
                  <c:v>2.8221338676011398E-2</c:v>
                </c:pt>
                <c:pt idx="48">
                  <c:v>2.8336602460799578E-2</c:v>
                </c:pt>
                <c:pt idx="49">
                  <c:v>2.8462865333235682E-2</c:v>
                </c:pt>
                <c:pt idx="50">
                  <c:v>2.8601205116452564E-2</c:v>
                </c:pt>
                <c:pt idx="51">
                  <c:v>2.8752810450644525E-2</c:v>
                </c:pt>
                <c:pt idx="52">
                  <c:v>2.8918993099826127E-2</c:v>
                </c:pt>
                <c:pt idx="53">
                  <c:v>2.9101201771589022E-2</c:v>
                </c:pt>
                <c:pt idx="54">
                  <c:v>2.9301037655259241E-2</c:v>
                </c:pt>
                <c:pt idx="55">
                  <c:v>2.9520271913224264E-2</c:v>
                </c:pt>
                <c:pt idx="56">
                  <c:v>2.976086539349641E-2</c:v>
                </c:pt>
                <c:pt idx="57">
                  <c:v>3.0024990869175518E-2</c:v>
                </c:pt>
                <c:pt idx="58">
                  <c:v>3.031505815262581E-2</c:v>
                </c:pt>
                <c:pt idx="59">
                  <c:v>3.0633742479074109E-2</c:v>
                </c:pt>
                <c:pt idx="60">
                  <c:v>3.0984016605940076E-2</c:v>
                </c:pt>
                <c:pt idx="61">
                  <c:v>3.1369187130223165E-2</c:v>
                </c:pt>
                <c:pt idx="62">
                  <c:v>3.1792935585954106E-2</c:v>
                </c:pt>
                <c:pt idx="63">
                  <c:v>3.2259364945718703E-2</c:v>
                </c:pt>
                <c:pt idx="64">
                  <c:v>3.2773052212355207E-2</c:v>
                </c:pt>
                <c:pt idx="65">
                  <c:v>3.3339107845700329E-2</c:v>
                </c:pt>
                <c:pt idx="66">
                  <c:v>3.3963242819713635E-2</c:v>
                </c:pt>
                <c:pt idx="67">
                  <c:v>3.4651844140368031E-2</c:v>
                </c:pt>
                <c:pt idx="68">
                  <c:v>3.541205966465031E-2</c:v>
                </c:pt>
                <c:pt idx="69">
                  <c:v>3.6251893032941171E-2</c:v>
                </c:pt>
                <c:pt idx="70">
                  <c:v>3.7180309444258604E-2</c:v>
                </c:pt>
                <c:pt idx="71">
                  <c:v>3.8207352845582798E-2</c:v>
                </c:pt>
                <c:pt idx="72">
                  <c:v>3.9344274848043113E-2</c:v>
                </c:pt>
                <c:pt idx="73">
                  <c:v>4.0603675296576179E-2</c:v>
                </c:pt>
                <c:pt idx="74">
                  <c:v>4.1999653877967613E-2</c:v>
                </c:pt>
                <c:pt idx="75">
                  <c:v>4.354797143200112E-2</c:v>
                </c:pt>
                <c:pt idx="76">
                  <c:v>4.5266218722253636E-2</c:v>
                </c:pt>
                <c:pt idx="77">
                  <c:v>4.7173989344232607E-2</c:v>
                </c:pt>
                <c:pt idx="78">
                  <c:v>4.9293052262179823E-2</c:v>
                </c:pt>
                <c:pt idx="79">
                  <c:v>5.1647518305078792E-2</c:v>
                </c:pt>
                <c:pt idx="80">
                  <c:v>5.4263994046724093E-2</c:v>
                </c:pt>
                <c:pt idx="81">
                  <c:v>5.7171716191042207E-2</c:v>
                </c:pt>
                <c:pt idx="82">
                  <c:v>6.0402660347373904E-2</c:v>
                </c:pt>
                <c:pt idx="83">
                  <c:v>6.3991620452702888E-2</c:v>
                </c:pt>
                <c:pt idx="84">
                  <c:v>6.7976259584433332E-2</c:v>
                </c:pt>
                <c:pt idx="85">
                  <c:v>7.2397139773351896E-2</c:v>
                </c:pt>
                <c:pt idx="86">
                  <c:v>7.7297747406747511E-2</c:v>
                </c:pt>
                <c:pt idx="87">
                  <c:v>8.2724540803868568E-2</c:v>
                </c:pt>
                <c:pt idx="88">
                  <c:v>8.8727055438266519E-2</c:v>
                </c:pt>
                <c:pt idx="89">
                  <c:v>9.5358107137547513E-2</c:v>
                </c:pt>
                <c:pt idx="90">
                  <c:v>0.10267413138262178</c:v>
                </c:pt>
                <c:pt idx="91">
                  <c:v>0.1107356857032309</c:v>
                </c:pt>
                <c:pt idx="92">
                  <c:v>0.11960812284990344</c:v>
                </c:pt>
                <c:pt idx="93">
                  <c:v>0.12936241898655018</c:v>
                </c:pt>
                <c:pt idx="94">
                  <c:v>0.14007612035438013</c:v>
                </c:pt>
                <c:pt idx="95">
                  <c:v>0.15183436086650084</c:v>
                </c:pt>
                <c:pt idx="96">
                  <c:v>0.16473090634411605</c:v>
                </c:pt>
                <c:pt idx="97">
                  <c:v>0.17886919798857404</c:v>
                </c:pt>
                <c:pt idx="98">
                  <c:v>0.19436339246323428</c:v>
                </c:pt>
                <c:pt idx="99">
                  <c:v>0.21133942024665017</c:v>
                </c:pt>
                <c:pt idx="100">
                  <c:v>0.22993610044280272</c:v>
                </c:pt>
                <c:pt idx="101">
                  <c:v>0.2503063558604714</c:v>
                </c:pt>
                <c:pt idx="102">
                  <c:v>0.27261856861041561</c:v>
                </c:pt>
                <c:pt idx="103">
                  <c:v>0.29705810854325804</c:v>
                </c:pt>
                <c:pt idx="104">
                  <c:v>0.32382905965126013</c:v>
                </c:pt>
                <c:pt idx="105">
                  <c:v>0.35315616619056506</c:v>
                </c:pt>
                <c:pt idx="106">
                  <c:v>0.38528702128663217</c:v>
                </c:pt>
                <c:pt idx="107">
                  <c:v>0.42049452501454682</c:v>
                </c:pt>
                <c:pt idx="108">
                  <c:v>0.45907964489861214</c:v>
                </c:pt>
                <c:pt idx="109">
                  <c:v>0.50137451849208647</c:v>
                </c:pt>
                <c:pt idx="110">
                  <c:v>0.54774594492916384</c:v>
                </c:pt>
                <c:pt idx="111">
                  <c:v>0.59859932029230745</c:v>
                </c:pt>
                <c:pt idx="112">
                  <c:v>0.65438308067033457</c:v>
                </c:pt>
                <c:pt idx="113">
                  <c:v>0.71559372726234738</c:v>
                </c:pt>
                <c:pt idx="114">
                  <c:v>0.78278152015908431</c:v>
                </c:pt>
                <c:pt idx="115">
                  <c:v>0.85655694186995857</c:v>
                </c:pt>
                <c:pt idx="116">
                  <c:v>0.93759804867161922</c:v>
                </c:pt>
                <c:pt idx="117">
                  <c:v>1.0266588479141963</c:v>
                </c:pt>
                <c:pt idx="118">
                  <c:v>1.124578863106303</c:v>
                </c:pt>
                <c:pt idx="119">
                  <c:v>1.2322940765897361</c:v>
                </c:pt>
                <c:pt idx="120">
                  <c:v>1.3508494727196645</c:v>
                </c:pt>
                <c:pt idx="121">
                  <c:v>1.4814134436508863</c:v>
                </c:pt>
                <c:pt idx="122">
                  <c:v>1.6252943662449171</c:v>
                </c:pt>
                <c:pt idx="123">
                  <c:v>1.7839597136262475</c:v>
                </c:pt>
                <c:pt idx="124">
                  <c:v>1.9590581301618251</c:v>
                </c:pt>
                <c:pt idx="125">
                  <c:v>2.1524449760623692</c:v>
                </c:pt>
                <c:pt idx="126">
                  <c:v>2.366211939728367</c:v>
                </c:pt>
                <c:pt idx="127">
                  <c:v>2.6027214251555635</c:v>
                </c:pt>
                <c:pt idx="128">
                  <c:v>2.8646465514754311</c:v>
                </c:pt>
                <c:pt idx="129">
                  <c:v>3.1550177559734087</c:v>
                </c:pt>
                <c:pt idx="130">
                  <c:v>3.4772771753991014</c:v>
                </c:pt>
                <c:pt idx="131">
                  <c:v>3.8353421986629064</c:v>
                </c:pt>
                <c:pt idx="132">
                  <c:v>4.2336798437900542</c:v>
                </c:pt>
                <c:pt idx="133">
                  <c:v>4.6773939212561348</c:v>
                </c:pt>
                <c:pt idx="134">
                  <c:v>5.1723273140813539</c:v>
                </c:pt>
                <c:pt idx="135">
                  <c:v>5.7251821436801036</c:v>
                </c:pt>
                <c:pt idx="136">
                  <c:v>6.3436611130144955</c:v>
                </c:pt>
                <c:pt idx="137">
                  <c:v>7.0366339412781462</c:v>
                </c:pt>
                <c:pt idx="138">
                  <c:v>7.8143335464697987</c:v>
                </c:pt>
                <c:pt idx="139">
                  <c:v>8.6885875168802364</c:v>
                </c:pt>
                <c:pt idx="140">
                  <c:v>9.6730914672580486</c:v>
                </c:pt>
                <c:pt idx="141">
                  <c:v>10.78373213312808</c:v>
                </c:pt>
                <c:pt idx="142">
                  <c:v>12.038969556676332</c:v>
                </c:pt>
                <c:pt idx="143">
                  <c:v>13.460289506667774</c:v>
                </c:pt>
                <c:pt idx="144">
                  <c:v>15.072739409005099</c:v>
                </c:pt>
              </c:numCache>
            </c:numRef>
          </c:yVal>
          <c:smooth val="1"/>
          <c:extLst>
            <c:ext xmlns:c16="http://schemas.microsoft.com/office/drawing/2014/chart" uri="{C3380CC4-5D6E-409C-BE32-E72D297353CC}">
              <c16:uniqueId val="{00000001-826B-4BB6-A58F-29FB21A6867F}"/>
            </c:ext>
          </c:extLst>
        </c:ser>
        <c:ser>
          <c:idx val="2"/>
          <c:order val="2"/>
          <c:tx>
            <c:strRef>
              <c:f>Calcs!$AU$8</c:f>
              <c:strCache>
                <c:ptCount val="1"/>
                <c:pt idx="0">
                  <c:v>85 C</c:v>
                </c:pt>
              </c:strCache>
            </c:strRef>
          </c:tx>
          <c:spPr>
            <a:ln w="19050" cap="rnd">
              <a:solidFill>
                <a:schemeClr val="accent3"/>
              </a:solidFill>
              <a:round/>
            </a:ln>
            <a:effectLst/>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Calcs!$AX$13:$AX$157</c:f>
              <c:numCache>
                <c:formatCode>0.00E+00</c:formatCode>
                <c:ptCount val="145"/>
                <c:pt idx="0">
                  <c:v>3.2352386839305226E-2</c:v>
                </c:pt>
                <c:pt idx="1">
                  <c:v>3.2376458611321275E-2</c:v>
                </c:pt>
                <c:pt idx="2">
                  <c:v>3.2378695209077643E-2</c:v>
                </c:pt>
                <c:pt idx="3">
                  <c:v>3.2381139665616725E-2</c:v>
                </c:pt>
                <c:pt idx="4">
                  <c:v>3.2383811311538037E-2</c:v>
                </c:pt>
                <c:pt idx="5">
                  <c:v>3.2386731272034862E-2</c:v>
                </c:pt>
                <c:pt idx="6">
                  <c:v>3.238992263988591E-2</c:v>
                </c:pt>
                <c:pt idx="7">
                  <c:v>3.2393410659911817E-2</c:v>
                </c:pt>
                <c:pt idx="8">
                  <c:v>3.2397222926573023E-2</c:v>
                </c:pt>
                <c:pt idx="9">
                  <c:v>3.2401389605517514E-2</c:v>
                </c:pt>
                <c:pt idx="10">
                  <c:v>3.2405943673552012E-2</c:v>
                </c:pt>
                <c:pt idx="11">
                  <c:v>3.2410921180947058E-2</c:v>
                </c:pt>
                <c:pt idx="12">
                  <c:v>3.2416361540129543E-2</c:v>
                </c:pt>
                <c:pt idx="13">
                  <c:v>3.2422307838711729E-2</c:v>
                </c:pt>
                <c:pt idx="14">
                  <c:v>3.2428807185493742E-2</c:v>
                </c:pt>
                <c:pt idx="15">
                  <c:v>3.2435911086532168E-2</c:v>
                </c:pt>
                <c:pt idx="16">
                  <c:v>3.2443675857984682E-2</c:v>
                </c:pt>
                <c:pt idx="17">
                  <c:v>3.2452163078248858E-2</c:v>
                </c:pt>
                <c:pt idx="18">
                  <c:v>3.2461440082008783E-2</c:v>
                </c:pt>
                <c:pt idx="19">
                  <c:v>3.2471580502643108E-2</c:v>
                </c:pt>
                <c:pt idx="20">
                  <c:v>3.2482664865636106E-2</c:v>
                </c:pt>
                <c:pt idx="21">
                  <c:v>3.2494781238728149E-2</c:v>
                </c:pt>
                <c:pt idx="22">
                  <c:v>3.2508025944809948E-2</c:v>
                </c:pt>
                <c:pt idx="23">
                  <c:v>3.2522504343070024E-2</c:v>
                </c:pt>
                <c:pt idx="24">
                  <c:v>3.2538331685489502E-2</c:v>
                </c:pt>
                <c:pt idx="25">
                  <c:v>3.255563405644963E-2</c:v>
                </c:pt>
                <c:pt idx="26">
                  <c:v>3.2574549403456568E-2</c:v>
                </c:pt>
                <c:pt idx="27">
                  <c:v>3.2595228668226131E-2</c:v>
                </c:pt>
                <c:pt idx="28">
                  <c:v>3.2617837028722563E-2</c:v>
                </c:pt>
                <c:pt idx="29">
                  <c:v>3.2642555263165562E-2</c:v>
                </c:pt>
                <c:pt idx="30">
                  <c:v>3.2669581248821696E-2</c:v>
                </c:pt>
                <c:pt idx="31">
                  <c:v>3.2699131609611215E-2</c:v>
                </c:pt>
                <c:pt idx="32">
                  <c:v>3.2731443528174239E-2</c:v>
                </c:pt>
                <c:pt idx="33">
                  <c:v>3.2766776739917777E-2</c:v>
                </c:pt>
                <c:pt idx="34">
                  <c:v>3.2805415728526806E-2</c:v>
                </c:pt>
                <c:pt idx="35">
                  <c:v>3.2847672144760989E-2</c:v>
                </c:pt>
                <c:pt idx="36">
                  <c:v>3.2893887472999553E-2</c:v>
                </c:pt>
                <c:pt idx="37">
                  <c:v>3.2944435972980288E-2</c:v>
                </c:pt>
                <c:pt idx="38">
                  <c:v>3.2999727927467616E-2</c:v>
                </c:pt>
                <c:pt idx="39">
                  <c:v>3.3060213230545636E-2</c:v>
                </c:pt>
                <c:pt idx="40">
                  <c:v>3.3126385355550445E-2</c:v>
                </c:pt>
                <c:pt idx="41">
                  <c:v>3.3198785746701223E-2</c:v>
                </c:pt>
                <c:pt idx="42">
                  <c:v>3.3278008684161968E-2</c:v>
                </c:pt>
                <c:pt idx="43">
                  <c:v>3.3364706678882666E-2</c:v>
                </c:pt>
                <c:pt idx="44">
                  <c:v>3.3459596461024907E-2</c:v>
                </c:pt>
                <c:pt idx="45">
                  <c:v>3.3563465634402066E-2</c:v>
                </c:pt>
                <c:pt idx="46">
                  <c:v>3.3677180079211201E-2</c:v>
                </c:pt>
                <c:pt idx="47">
                  <c:v>3.3801692196685197E-2</c:v>
                </c:pt>
                <c:pt idx="48">
                  <c:v>3.3938050102263133E-2</c:v>
                </c:pt>
                <c:pt idx="49">
                  <c:v>3.4087407888800568E-2</c:v>
                </c:pt>
                <c:pt idx="50">
                  <c:v>3.4251037098455839E-2</c:v>
                </c:pt>
                <c:pt idx="51">
                  <c:v>3.443033956147671E-2</c:v>
                </c:pt>
                <c:pt idx="52">
                  <c:v>3.4626861782567679E-2</c:v>
                </c:pt>
                <c:pt idx="53">
                  <c:v>3.4842311081150462E-2</c:v>
                </c:pt>
                <c:pt idx="54">
                  <c:v>3.5078573721046377E-2</c:v>
                </c:pt>
                <c:pt idx="55">
                  <c:v>3.5337735298315263E-2</c:v>
                </c:pt>
                <c:pt idx="56">
                  <c:v>3.5622103693533962E-2</c:v>
                </c:pt>
                <c:pt idx="57">
                  <c:v>3.5934234937072568E-2</c:v>
                </c:pt>
                <c:pt idx="58">
                  <c:v>3.6276962383172427E-2</c:v>
                </c:pt>
                <c:pt idx="59">
                  <c:v>3.6653429640999914E-2</c:v>
                </c:pt>
                <c:pt idx="60">
                  <c:v>3.7067127768249344E-2</c:v>
                </c:pt>
                <c:pt idx="61">
                  <c:v>3.7521937294880472E-2</c:v>
                </c:pt>
                <c:pt idx="62">
                  <c:v>3.8022175710286266E-2</c:v>
                </c:pt>
                <c:pt idx="63">
                  <c:v>3.8572651114983127E-2</c:v>
                </c:pt>
                <c:pt idx="64">
                  <c:v>3.9178722805220403E-2</c:v>
                </c:pt>
                <c:pt idx="65">
                  <c:v>3.9846369621820879E-2</c:v>
                </c:pt>
                <c:pt idx="66">
                  <c:v>4.058226694746473E-2</c:v>
                </c:pt>
                <c:pt idx="67">
                  <c:v>4.1393873271652393E-2</c:v>
                </c:pt>
                <c:pt idx="68">
                  <c:v>4.2289527249072562E-2</c:v>
                </c:pt>
                <c:pt idx="69">
                  <c:v>4.3278556141043693E-2</c:v>
                </c:pt>
                <c:pt idx="70">
                  <c:v>4.4371396433240215E-2</c:v>
                </c:pt>
                <c:pt idx="71">
                  <c:v>4.5579727244161386E-2</c:v>
                </c:pt>
                <c:pt idx="72">
                  <c:v>4.691661685217513E-2</c:v>
                </c:pt>
                <c:pt idx="73">
                  <c:v>4.8396682246578497E-2</c:v>
                </c:pt>
                <c:pt idx="74">
                  <c:v>5.0036261022835773E-2</c:v>
                </c:pt>
                <c:pt idx="75">
                  <c:v>5.1853594173227553E-2</c:v>
                </c:pt>
                <c:pt idx="76">
                  <c:v>5.3869017366451721E-2</c:v>
                </c:pt>
                <c:pt idx="77">
                  <c:v>5.6105157187727933E-2</c:v>
                </c:pt>
                <c:pt idx="78">
                  <c:v>5.8587127597944502E-2</c:v>
                </c:pt>
                <c:pt idx="79">
                  <c:v>6.134272071227008E-2</c:v>
                </c:pt>
                <c:pt idx="80">
                  <c:v>6.4402585138966767E-2</c:v>
                </c:pt>
                <c:pt idx="81">
                  <c:v>6.7800384917097084E-2</c:v>
                </c:pt>
                <c:pt idx="82">
                  <c:v>7.1572933018753782E-2</c:v>
                </c:pt>
                <c:pt idx="83">
                  <c:v>7.5760295973661115E-2</c:v>
                </c:pt>
                <c:pt idx="84">
                  <c:v>8.0405870916118755E-2</c:v>
                </c:pt>
                <c:pt idx="85">
                  <c:v>8.5556443474427507E-2</c:v>
                </c:pt>
                <c:pt idx="86">
                  <c:v>9.126224411020642E-2</c:v>
                </c:pt>
                <c:pt idx="87">
                  <c:v>9.7577030627896189E-2</c:v>
                </c:pt>
                <c:pt idx="88">
                  <c:v>0.10455823348983104</c:v>
                </c:pt>
                <c:pt idx="89">
                  <c:v>0.11226720538339463</c:v>
                </c:pt>
                <c:pt idx="90">
                  <c:v>0.12076961423284982</c:v>
                </c:pt>
                <c:pt idx="91">
                  <c:v>0.13013600774584821</c:v>
                </c:pt>
                <c:pt idx="92">
                  <c:v>0.14044255837652384</c:v>
                </c:pt>
                <c:pt idx="93">
                  <c:v>0.15177197427304359</c:v>
                </c:pt>
                <c:pt idx="94">
                  <c:v>0.16421454097216651</c:v>
                </c:pt>
                <c:pt idx="95">
                  <c:v>0.1778692473265949</c:v>
                </c:pt>
                <c:pt idx="96">
                  <c:v>0.1928449518193347</c:v>
                </c:pt>
                <c:pt idx="97">
                  <c:v>0.20926156157432774</c:v>
                </c:pt>
                <c:pt idx="98">
                  <c:v>0.22725122056319821</c:v>
                </c:pt>
                <c:pt idx="99">
                  <c:v>0.24695952762437109</c:v>
                </c:pt>
                <c:pt idx="100">
                  <c:v>0.26854682180612943</c:v>
                </c:pt>
                <c:pt idx="101">
                  <c:v>0.29218957898607195</c:v>
                </c:pt>
                <c:pt idx="102">
                  <c:v>0.31808196114565945</c:v>
                </c:pt>
                <c:pt idx="103">
                  <c:v>0.34643755261739206</c:v>
                </c:pt>
                <c:pt idx="104">
                  <c:v>0.37749131096848265</c:v>
                </c:pt>
                <c:pt idx="105">
                  <c:v>0.41150175702158087</c:v>
                </c:pt>
                <c:pt idx="106">
                  <c:v>0.44875342949196401</c:v>
                </c:pt>
                <c:pt idx="107">
                  <c:v>0.48955963385007645</c:v>
                </c:pt>
                <c:pt idx="108">
                  <c:v>0.53426552092135304</c:v>
                </c:pt>
                <c:pt idx="109">
                  <c:v>0.5832515375041748</c:v>
                </c:pt>
                <c:pt idx="110">
                  <c:v>0.63693729866947313</c:v>
                </c:pt>
                <c:pt idx="111">
                  <c:v>0.69578593958089519</c:v>
                </c:pt>
                <c:pt idx="112">
                  <c:v>0.76030901397988715</c:v>
                </c:pt>
                <c:pt idx="113">
                  <c:v>0.83107201726806457</c:v>
                </c:pt>
                <c:pt idx="114">
                  <c:v>0.90870062473462321</c:v>
                </c:pt>
                <c:pt idx="115">
                  <c:v>0.99388775028307919</c:v>
                </c:pt>
                <c:pt idx="116">
                  <c:v>1.0874015484224075</c:v>
                </c:pt>
                <c:pt idx="117">
                  <c:v>1.1900945027877123</c:v>
                </c:pt>
                <c:pt idx="118">
                  <c:v>1.3029137686203152</c:v>
                </c:pt>
                <c:pt idx="119">
                  <c:v>1.4269129651508217</c:v>
                </c:pt>
                <c:pt idx="120">
                  <c:v>1.563265647505556</c:v>
                </c:pt>
                <c:pt idx="121">
                  <c:v>1.7132807275662587</c:v>
                </c:pt>
                <c:pt idx="122">
                  <c:v>1.8784201603095605</c:v>
                </c:pt>
                <c:pt idx="123">
                  <c:v>2.0603192679118769</c:v>
                </c:pt>
                <c:pt idx="124">
                  <c:v>2.2608101399657006</c:v>
                </c:pt>
                <c:pt idx="125">
                  <c:v>2.4819486264679154</c:v>
                </c:pt>
                <c:pt idx="126">
                  <c:v>2.7260455331376536</c:v>
                </c:pt>
                <c:pt idx="127">
                  <c:v>2.9957027388760382</c:v>
                </c:pt>
                <c:pt idx="128">
                  <c:v>3.2938550861023446</c:v>
                </c:pt>
                <c:pt idx="129">
                  <c:v>3.6238190502377554</c:v>
                </c:pt>
                <c:pt idx="130">
                  <c:v>3.9893493794664052</c:v>
                </c:pt>
                <c:pt idx="131">
                  <c:v>4.3947051156997023</c:v>
                </c:pt>
                <c:pt idx="132">
                  <c:v>4.8447266691031263</c:v>
                </c:pt>
                <c:pt idx="133">
                  <c:v>5.3449259296084008</c:v>
                </c:pt>
                <c:pt idx="134">
                  <c:v>5.9015917690658624</c:v>
                </c:pt>
                <c:pt idx="135">
                  <c:v>6.5219137284736979</c:v>
                </c:pt>
                <c:pt idx="136">
                  <c:v>7.2141272096362004</c:v>
                </c:pt>
                <c:pt idx="137">
                  <c:v>7.9876841158637282</c:v>
                </c:pt>
                <c:pt idx="138">
                  <c:v>8.8534536312831751</c:v>
                </c:pt>
                <c:pt idx="139">
                  <c:v>9.8239587160766604</c:v>
                </c:pt>
                <c:pt idx="140">
                  <c:v>10.913654953079849</c:v>
                </c:pt>
                <c:pt idx="141">
                  <c:v>12.139259642564351</c:v>
                </c:pt>
                <c:pt idx="142">
                  <c:v>13.520140545995684</c:v>
                </c:pt>
                <c:pt idx="143">
                  <c:v>15.078775473012016</c:v>
                </c:pt>
                <c:pt idx="144">
                  <c:v>16.841296044820584</c:v>
                </c:pt>
              </c:numCache>
            </c:numRef>
          </c:yVal>
          <c:smooth val="1"/>
          <c:extLst>
            <c:ext xmlns:c16="http://schemas.microsoft.com/office/drawing/2014/chart" uri="{C3380CC4-5D6E-409C-BE32-E72D297353CC}">
              <c16:uniqueId val="{00000002-826B-4BB6-A58F-29FB21A6867F}"/>
            </c:ext>
          </c:extLst>
        </c:ser>
        <c:dLbls>
          <c:showLegendKey val="0"/>
          <c:showVal val="0"/>
          <c:showCatName val="0"/>
          <c:showSerName val="0"/>
          <c:showPercent val="0"/>
          <c:showBubbleSize val="0"/>
        </c:dLbls>
        <c:axId val="369912816"/>
        <c:axId val="301049184"/>
      </c:scatterChart>
      <c:valAx>
        <c:axId val="3699128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01049184"/>
        <c:crosses val="autoZero"/>
        <c:crossBetween val="midCat"/>
      </c:valAx>
      <c:valAx>
        <c:axId val="301049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Attenuation (dB/meter)</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69912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Calculated coax cable loss from all sources
Both axes on linear scales</a:t>
            </a:r>
          </a:p>
        </c:rich>
      </c:tx>
      <c:layout>
        <c:manualLayout>
          <c:xMode val="edge"/>
          <c:yMode val="edge"/>
          <c:x val="0.25354966853009803"/>
          <c:y val="1.8766728105695022E-2"/>
        </c:manualLayout>
      </c:layout>
      <c:overlay val="0"/>
      <c:spPr>
        <a:noFill/>
        <a:ln w="25400">
          <a:noFill/>
        </a:ln>
      </c:spPr>
    </c:title>
    <c:autoTitleDeleted val="0"/>
    <c:plotArea>
      <c:layout>
        <c:manualLayout>
          <c:layoutTarget val="inner"/>
          <c:xMode val="edge"/>
          <c:yMode val="edge"/>
          <c:x val="0.12981744421906694"/>
          <c:y val="0.1581769436997319"/>
          <c:w val="0.76064908722109537"/>
          <c:h val="0.66756032171581769"/>
        </c:manualLayout>
      </c:layout>
      <c:scatterChart>
        <c:scatterStyle val="smoothMarker"/>
        <c:varyColors val="0"/>
        <c:ser>
          <c:idx val="0"/>
          <c:order val="0"/>
          <c:tx>
            <c:v>Outside conductor</c:v>
          </c:tx>
          <c:spPr>
            <a:ln w="12700">
              <a:solidFill>
                <a:srgbClr val="00008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Calcs!$S$13:$S$157</c:f>
              <c:numCache>
                <c:formatCode>0.00E+00</c:formatCode>
                <c:ptCount val="145"/>
                <c:pt idx="0">
                  <c:v>1.0560352179334479E-3</c:v>
                </c:pt>
                <c:pt idx="1">
                  <c:v>1.0570891377794927E-3</c:v>
                </c:pt>
                <c:pt idx="2">
                  <c:v>1.0571870766726795E-3</c:v>
                </c:pt>
                <c:pt idx="3">
                  <c:v>1.0572941206023487E-3</c:v>
                </c:pt>
                <c:pt idx="4">
                  <c:v>1.0574111167637162E-3</c:v>
                </c:pt>
                <c:pt idx="5">
                  <c:v>1.0575389913092467E-3</c:v>
                </c:pt>
                <c:pt idx="6">
                  <c:v>1.0576787567767173E-3</c:v>
                </c:pt>
                <c:pt idx="7">
                  <c:v>1.0578315201246874E-3</c:v>
                </c:pt>
                <c:pt idx="8">
                  <c:v>1.0579984916078776E-3</c:v>
                </c:pt>
                <c:pt idx="9">
                  <c:v>1.0581809944631862E-3</c:v>
                </c:pt>
                <c:pt idx="10">
                  <c:v>1.0583804755078384E-3</c:v>
                </c:pt>
                <c:pt idx="11">
                  <c:v>1.0585985167466177E-3</c:v>
                </c:pt>
                <c:pt idx="12">
                  <c:v>1.0588368480777615E-3</c:v>
                </c:pt>
                <c:pt idx="13">
                  <c:v>1.0590973612284733E-3</c:v>
                </c:pt>
                <c:pt idx="14">
                  <c:v>1.0593821249983754E-3</c:v>
                </c:pt>
                <c:pt idx="15">
                  <c:v>1.0596934019651805E-3</c:v>
                </c:pt>
                <c:pt idx="16">
                  <c:v>1.0600336668072537E-3</c:v>
                </c:pt>
                <c:pt idx="17">
                  <c:v>1.0604056263722747E-3</c:v>
                </c:pt>
                <c:pt idx="18">
                  <c:v>1.0608122416949726E-3</c:v>
                </c:pt>
                <c:pt idx="19">
                  <c:v>1.0612567521367244E-3</c:v>
                </c:pt>
                <c:pt idx="20">
                  <c:v>1.0617427018805696E-3</c:v>
                </c:pt>
                <c:pt idx="21">
                  <c:v>1.0622739690037109E-3</c:v>
                </c:pt>
                <c:pt idx="22">
                  <c:v>1.0628547974021851E-3</c:v>
                </c:pt>
                <c:pt idx="23">
                  <c:v>1.0634898318580585E-3</c:v>
                </c:pt>
                <c:pt idx="24">
                  <c:v>1.0641841565717E-3</c:v>
                </c:pt>
                <c:pt idx="25">
                  <c:v>1.0649433375293062E-3</c:v>
                </c:pt>
                <c:pt idx="26">
                  <c:v>1.0657734691055436E-3</c:v>
                </c:pt>
                <c:pt idx="27">
                  <c:v>1.0666812253531724E-3</c:v>
                </c:pt>
                <c:pt idx="28">
                  <c:v>1.0676739164902434E-3</c:v>
                </c:pt>
                <c:pt idx="29">
                  <c:v>1.0687595511456587E-3</c:v>
                </c:pt>
                <c:pt idx="30">
                  <c:v>1.0699469050005764E-3</c:v>
                </c:pt>
                <c:pt idx="31">
                  <c:v>1.0712455965398969E-3</c:v>
                </c:pt>
                <c:pt idx="32">
                  <c:v>1.0726661707153406E-3</c:v>
                </c:pt>
                <c:pt idx="33">
                  <c:v>1.0742201914271529E-3</c:v>
                </c:pt>
                <c:pt idx="34">
                  <c:v>1.0759203438467557E-3</c:v>
                </c:pt>
                <c:pt idx="35">
                  <c:v>1.0777805477381356E-3</c:v>
                </c:pt>
                <c:pt idx="36">
                  <c:v>1.0798160830912961E-3</c:v>
                </c:pt>
                <c:pt idx="37">
                  <c:v>1.0820437295590278E-3</c:v>
                </c:pt>
                <c:pt idx="38">
                  <c:v>1.084481921394861E-3</c:v>
                </c:pt>
                <c:pt idx="39">
                  <c:v>1.0871509198292718E-3</c:v>
                </c:pt>
                <c:pt idx="40">
                  <c:v>1.0900730050972599E-3</c:v>
                </c:pt>
                <c:pt idx="41">
                  <c:v>1.0932726906518842E-3</c:v>
                </c:pt>
                <c:pt idx="42">
                  <c:v>1.0967769624719834E-3</c:v>
                </c:pt>
                <c:pt idx="43">
                  <c:v>1.100615546806818E-3</c:v>
                </c:pt>
                <c:pt idx="44">
                  <c:v>1.1048212102072682E-3</c:v>
                </c:pt>
                <c:pt idx="45">
                  <c:v>1.1094300962859729E-3</c:v>
                </c:pt>
                <c:pt idx="46">
                  <c:v>1.1144821043397399E-3</c:v>
                </c:pt>
                <c:pt idx="47">
                  <c:v>1.1200213157774087E-3</c:v>
                </c:pt>
                <c:pt idx="48">
                  <c:v>1.1260964752440065E-3</c:v>
                </c:pt>
                <c:pt idx="49">
                  <c:v>1.1327615344419624E-3</c:v>
                </c:pt>
                <c:pt idx="50">
                  <c:v>1.1400762679508057E-3</c:v>
                </c:pt>
                <c:pt idx="51">
                  <c:v>1.148106971870936E-3</c:v>
                </c:pt>
                <c:pt idx="52">
                  <c:v>1.1569272579021648E-3</c:v>
                </c:pt>
                <c:pt idx="53">
                  <c:v>1.1666189575573829E-3</c:v>
                </c:pt>
                <c:pt idx="54">
                  <c:v>1.1772731536543964E-3</c:v>
                </c:pt>
                <c:pt idx="55">
                  <c:v>1.188991359079613E-3</c:v>
                </c:pt>
                <c:pt idx="56">
                  <c:v>1.2018868661353974E-3</c:v>
                </c:pt>
                <c:pt idx="57">
                  <c:v>1.216086293631896E-3</c:v>
                </c:pt>
                <c:pt idx="58">
                  <c:v>1.2317313633290184E-3</c:v>
                </c:pt>
                <c:pt idx="59">
                  <c:v>1.2489809424364403E-3</c:v>
                </c:pt>
                <c:pt idx="60">
                  <c:v>1.2680133946903951E-3</c:v>
                </c:pt>
                <c:pt idx="61">
                  <c:v>1.289029289075624E-3</c:v>
                </c:pt>
                <c:pt idx="62">
                  <c:v>1.3122545225410531E-3</c:v>
                </c:pt>
                <c:pt idx="63">
                  <c:v>1.3379439209980123E-3</c:v>
                </c:pt>
                <c:pt idx="64">
                  <c:v>1.366385391321334E-3</c:v>
                </c:pt>
                <c:pt idx="65">
                  <c:v>1.3979047056805922E-3</c:v>
                </c:pt>
                <c:pt idx="66">
                  <c:v>1.4328710077792612E-3</c:v>
                </c:pt>
                <c:pt idx="67">
                  <c:v>1.4717031376351186E-3</c:v>
                </c:pt>
                <c:pt idx="68">
                  <c:v>1.5148768761324442E-3</c:v>
                </c:pt>
                <c:pt idx="69">
                  <c:v>1.5629332108808563E-3</c:v>
                </c:pt>
                <c:pt idx="70">
                  <c:v>1.6164877183514469E-3</c:v>
                </c:pt>
                <c:pt idx="71">
                  <c:v>1.6762411403337917E-3</c:v>
                </c:pt>
                <c:pt idx="72">
                  <c:v>1.7429912009057507E-3</c:v>
                </c:pt>
                <c:pt idx="73">
                  <c:v>1.8176456576547285E-3</c:v>
                </c:pt>
                <c:pt idx="74">
                  <c:v>1.901236501217148E-3</c:v>
                </c:pt>
                <c:pt idx="75">
                  <c:v>1.9949351033513594E-3</c:v>
                </c:pt>
                <c:pt idx="76">
                  <c:v>2.1000679597233487E-3</c:v>
                </c:pt>
                <c:pt idx="77">
                  <c:v>2.2181324766881068E-3</c:v>
                </c:pt>
                <c:pt idx="78">
                  <c:v>2.3508120160734541E-3</c:v>
                </c:pt>
                <c:pt idx="79">
                  <c:v>2.4999891554801949E-3</c:v>
                </c:pt>
                <c:pt idx="80">
                  <c:v>2.6677558807124951E-3</c:v>
                </c:pt>
                <c:pt idx="81">
                  <c:v>2.8564192651970056E-3</c:v>
                </c:pt>
                <c:pt idx="82">
                  <c:v>3.0685012030586432E-3</c:v>
                </c:pt>
                <c:pt idx="83">
                  <c:v>3.3067310688515311E-3</c:v>
                </c:pt>
                <c:pt idx="84">
                  <c:v>3.5740309049010388E-3</c:v>
                </c:pt>
                <c:pt idx="85">
                  <c:v>3.8734939762621635E-3</c:v>
                </c:pt>
                <c:pt idx="86">
                  <c:v>4.2083592666721358E-3</c:v>
                </c:pt>
                <c:pt idx="87">
                  <c:v>4.5819865135478619E-3</c:v>
                </c:pt>
                <c:pt idx="88">
                  <c:v>4.9978382515212891E-3</c:v>
                </c:pt>
                <c:pt idx="89">
                  <c:v>5.4594763927397665E-3</c:v>
                </c:pt>
                <c:pt idx="90">
                  <c:v>5.9705804064996435E-3</c:v>
                </c:pt>
                <c:pt idx="91">
                  <c:v>6.5349917100699486E-3</c:v>
                </c:pt>
                <c:pt idx="92">
                  <c:v>7.1567845861336184E-3</c:v>
                </c:pt>
                <c:pt idx="93">
                  <c:v>7.8403587391175141E-3</c:v>
                </c:pt>
                <c:pt idx="94">
                  <c:v>8.5905440764691629E-3</c:v>
                </c:pt>
                <c:pt idx="95">
                  <c:v>9.4127061143529818E-3</c:v>
                </c:pt>
                <c:pt idx="96">
                  <c:v>1.0312841534638129E-2</c:v>
                </c:pt>
                <c:pt idx="97">
                  <c:v>1.1297657591807005E-2</c:v>
                </c:pt>
                <c:pt idx="98">
                  <c:v>1.2374634794817549E-2</c:v>
                </c:pt>
                <c:pt idx="99">
                  <c:v>1.3552077513650283E-2</c:v>
                </c:pt>
                <c:pt idx="100">
                  <c:v>1.4839160203832961E-2</c:v>
                </c:pt>
                <c:pt idx="101">
                  <c:v>1.6245977212054105E-2</c:v>
                </c:pt>
                <c:pt idx="102">
                  <c:v>1.7783602220826152E-2</c:v>
                </c:pt>
                <c:pt idx="103">
                  <c:v>1.9464160606747799E-2</c:v>
                </c:pt>
                <c:pt idx="104">
                  <c:v>2.130091558201266E-2</c:v>
                </c:pt>
                <c:pt idx="105">
                  <c:v>2.3308367640560854E-2</c:v>
                </c:pt>
                <c:pt idx="106">
                  <c:v>2.5502366541242036E-2</c:v>
                </c:pt>
                <c:pt idx="107">
                  <c:v>2.7900235425823618E-2</c:v>
                </c:pt>
                <c:pt idx="108">
                  <c:v>3.0520907238804063E-2</c:v>
                </c:pt>
                <c:pt idx="109">
                  <c:v>3.3385074111885238E-2</c:v>
                </c:pt>
                <c:pt idx="110">
                  <c:v>3.6515350719296423E-2</c:v>
                </c:pt>
                <c:pt idx="111">
                  <c:v>3.9936452834024257E-2</c:v>
                </c:pt>
                <c:pt idx="112">
                  <c:v>4.3675392477873214E-2</c:v>
                </c:pt>
                <c:pt idx="113">
                  <c:v>4.776169120234236E-2</c:v>
                </c:pt>
                <c:pt idx="114">
                  <c:v>5.2227613183651427E-2</c:v>
                </c:pt>
                <c:pt idx="115">
                  <c:v>5.7108419972314459E-2</c:v>
                </c:pt>
                <c:pt idx="116">
                  <c:v>6.2442648908724904E-2</c:v>
                </c:pt>
                <c:pt idx="117">
                  <c:v>6.8272417403079377E-2</c:v>
                </c:pt>
                <c:pt idx="118">
                  <c:v>7.4643755482177068E-2</c:v>
                </c:pt>
                <c:pt idx="119">
                  <c:v>8.1606969228812803E-2</c:v>
                </c:pt>
                <c:pt idx="120">
                  <c:v>8.9217037983393491E-2</c:v>
                </c:pt>
                <c:pt idx="121">
                  <c:v>9.7534048443980281E-2</c:v>
                </c:pt>
                <c:pt idx="122">
                  <c:v>0.10662366909229219</c:v>
                </c:pt>
                <c:pt idx="123">
                  <c:v>0.11655766869160517</c:v>
                </c:pt>
                <c:pt idx="124">
                  <c:v>0.12741448295045496</c:v>
                </c:pt>
                <c:pt idx="125">
                  <c:v>0.13927983382635373</c:v>
                </c:pt>
                <c:pt idx="126">
                  <c:v>0.15224740635935305</c:v>
                </c:pt>
                <c:pt idx="127">
                  <c:v>0.16641958837952697</c:v>
                </c:pt>
                <c:pt idx="128">
                  <c:v>0.18190827892887523</c:v>
                </c:pt>
                <c:pt idx="129">
                  <c:v>0.19883577178069567</c:v>
                </c:pt>
                <c:pt idx="130">
                  <c:v>0.21733572103241819</c:v>
                </c:pt>
                <c:pt idx="131">
                  <c:v>0.23755419639591868</c:v>
                </c:pt>
                <c:pt idx="132">
                  <c:v>0.25965083651755205</c:v>
                </c:pt>
                <c:pt idx="133">
                  <c:v>0.2838001094341554</c:v>
                </c:pt>
                <c:pt idx="134">
                  <c:v>0.31019269011718426</c:v>
                </c:pt>
                <c:pt idx="135">
                  <c:v>0.33903696598163174</c:v>
                </c:pt>
                <c:pt idx="136">
                  <c:v>0.37056068224675442</c:v>
                </c:pt>
                <c:pt idx="137">
                  <c:v>0.40501274013984689</c:v>
                </c:pt>
                <c:pt idx="138">
                  <c:v>0.44266516214111512</c:v>
                </c:pt>
                <c:pt idx="139">
                  <c:v>0.48381523978659413</c:v>
                </c:pt>
                <c:pt idx="140">
                  <c:v>0.52878788098748031</c:v>
                </c:pt>
                <c:pt idx="141">
                  <c:v>0.57793817539956405</c:v>
                </c:pt>
                <c:pt idx="142">
                  <c:v>0.63165419809810719</c:v>
                </c:pt>
                <c:pt idx="143">
                  <c:v>0.69036007369508234</c:v>
                </c:pt>
                <c:pt idx="144">
                  <c:v>0.75451932509207764</c:v>
                </c:pt>
              </c:numCache>
            </c:numRef>
          </c:yVal>
          <c:smooth val="1"/>
          <c:extLst>
            <c:ext xmlns:c16="http://schemas.microsoft.com/office/drawing/2014/chart" uri="{C3380CC4-5D6E-409C-BE32-E72D297353CC}">
              <c16:uniqueId val="{00000000-B6B5-4E46-BE16-D08E9283DDCF}"/>
            </c:ext>
          </c:extLst>
        </c:ser>
        <c:ser>
          <c:idx val="1"/>
          <c:order val="1"/>
          <c:tx>
            <c:v>Inside conductor</c:v>
          </c:tx>
          <c:spPr>
            <a:ln w="12700">
              <a:solidFill>
                <a:srgbClr val="FF00FF"/>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Calcs!$T$13:$T$157</c:f>
              <c:numCache>
                <c:formatCode>0.00E+00</c:formatCode>
                <c:ptCount val="145"/>
                <c:pt idx="0">
                  <c:v>7.1726881830301127E-3</c:v>
                </c:pt>
                <c:pt idx="1">
                  <c:v>7.1778309688546125E-3</c:v>
                </c:pt>
                <c:pt idx="2">
                  <c:v>7.1783087921442864E-3</c:v>
                </c:pt>
                <c:pt idx="3">
                  <c:v>7.1788310196572941E-3</c:v>
                </c:pt>
                <c:pt idx="4">
                  <c:v>7.1794017805748012E-3</c:v>
                </c:pt>
                <c:pt idx="5">
                  <c:v>7.1800255871897053E-3</c:v>
                </c:pt>
                <c:pt idx="6">
                  <c:v>7.1807073719682068E-3</c:v>
                </c:pt>
                <c:pt idx="7">
                  <c:v>7.1814525269839309E-3</c:v>
                </c:pt>
                <c:pt idx="8">
                  <c:v>7.1822669459676155E-3</c:v>
                </c:pt>
                <c:pt idx="9">
                  <c:v>7.1831570716449564E-3</c:v>
                </c:pt>
                <c:pt idx="10">
                  <c:v>7.1841299469332679E-3</c:v>
                </c:pt>
                <c:pt idx="11">
                  <c:v>7.1851932708860006E-3</c:v>
                </c:pt>
                <c:pt idx="12">
                  <c:v>7.1863554603144725E-3</c:v>
                </c:pt>
                <c:pt idx="13">
                  <c:v>7.1876257164886935E-3</c:v>
                </c:pt>
                <c:pt idx="14">
                  <c:v>7.1890140989791752E-3</c:v>
                </c:pt>
                <c:pt idx="15">
                  <c:v>7.1905316058144611E-3</c:v>
                </c:pt>
                <c:pt idx="16">
                  <c:v>7.1921902614882072E-3</c:v>
                </c:pt>
                <c:pt idx="17">
                  <c:v>7.1940032133395006E-3</c:v>
                </c:pt>
                <c:pt idx="18">
                  <c:v>7.1959848368002045E-3</c:v>
                </c:pt>
                <c:pt idx="19">
                  <c:v>7.1981508509667636E-3</c:v>
                </c:pt>
                <c:pt idx="20">
                  <c:v>7.2005184449746981E-3</c:v>
                </c:pt>
                <c:pt idx="21">
                  <c:v>7.2031064164213201E-3</c:v>
                </c:pt>
                <c:pt idx="22">
                  <c:v>7.2059353231097266E-3</c:v>
                </c:pt>
                <c:pt idx="23">
                  <c:v>7.2090276492541216E-3</c:v>
                </c:pt>
                <c:pt idx="24">
                  <c:v>7.2124079876516563E-3</c:v>
                </c:pt>
                <c:pt idx="25">
                  <c:v>7.2161032394559088E-3</c:v>
                </c:pt>
                <c:pt idx="26">
                  <c:v>7.220142833223888E-3</c:v>
                </c:pt>
                <c:pt idx="27">
                  <c:v>7.2245589651740629E-3</c:v>
                </c:pt>
                <c:pt idx="28">
                  <c:v>7.2293868628814009E-3</c:v>
                </c:pt>
                <c:pt idx="29">
                  <c:v>7.2346650747014503E-3</c:v>
                </c:pt>
                <c:pt idx="30">
                  <c:v>7.2404357876012237E-3</c:v>
                </c:pt>
                <c:pt idx="31">
                  <c:v>7.2467451763161715E-3</c:v>
                </c:pt>
                <c:pt idx="32">
                  <c:v>7.2536437870838813E-3</c:v>
                </c:pt>
                <c:pt idx="33">
                  <c:v>7.2611869595880004E-3</c:v>
                </c:pt>
                <c:pt idx="34">
                  <c:v>7.2694352911420344E-3</c:v>
                </c:pt>
                <c:pt idx="35">
                  <c:v>7.2784551476162617E-3</c:v>
                </c:pt>
                <c:pt idx="36">
                  <c:v>7.2883192261440416E-3</c:v>
                </c:pt>
                <c:pt idx="37">
                  <c:v>7.2991071752439808E-3</c:v>
                </c:pt>
                <c:pt idx="38">
                  <c:v>7.3109062786484574E-3</c:v>
                </c:pt>
                <c:pt idx="39">
                  <c:v>7.3238122099235246E-3</c:v>
                </c:pt>
                <c:pt idx="40">
                  <c:v>7.3379298658199704E-3</c:v>
                </c:pt>
                <c:pt idx="41">
                  <c:v>7.3533742872946171E-3</c:v>
                </c:pt>
                <c:pt idx="42">
                  <c:v>7.3702716782552014E-3</c:v>
                </c:pt>
                <c:pt idx="43">
                  <c:v>7.388760533382689E-3</c:v>
                </c:pt>
                <c:pt idx="44">
                  <c:v>7.40899288783743E-3</c:v>
                </c:pt>
                <c:pt idx="45">
                  <c:v>7.4311357033306959E-3</c:v>
                </c:pt>
                <c:pt idx="46">
                  <c:v>7.4553724069447123E-3</c:v>
                </c:pt>
                <c:pt idx="47">
                  <c:v>7.4819046012662349E-3</c:v>
                </c:pt>
                <c:pt idx="48">
                  <c:v>7.5109539668744025E-3</c:v>
                </c:pt>
                <c:pt idx="49">
                  <c:v>7.542764381057567E-3</c:v>
                </c:pt>
                <c:pt idx="50">
                  <c:v>7.5776042798623737E-3</c:v>
                </c:pt>
                <c:pt idx="51">
                  <c:v>7.6157692942465209E-3</c:v>
                </c:pt>
                <c:pt idx="52">
                  <c:v>7.6575851952828469E-3</c:v>
                </c:pt>
                <c:pt idx="53">
                  <c:v>7.7034111880893543E-3</c:v>
                </c:pt>
                <c:pt idx="54">
                  <c:v>7.753643599501113E-3</c:v>
                </c:pt>
                <c:pt idx="55">
                  <c:v>7.8087200105134025E-3</c:v>
                </c:pt>
                <c:pt idx="56">
                  <c:v>7.869123891252227E-3</c:v>
                </c:pt>
                <c:pt idx="57">
                  <c:v>7.9353898037145595E-3</c:v>
                </c:pt>
                <c:pt idx="58">
                  <c:v>8.0081092457753231E-3</c:v>
                </c:pt>
                <c:pt idx="59">
                  <c:v>8.0879372189713861E-3</c:v>
                </c:pt>
                <c:pt idx="60">
                  <c:v>8.1755996122790508E-3</c:v>
                </c:pt>
                <c:pt idx="61">
                  <c:v>8.2719015043720145E-3</c:v>
                </c:pt>
                <c:pt idx="62">
                  <c:v>8.3777364974559343E-3</c:v>
                </c:pt>
                <c:pt idx="63">
                  <c:v>8.4940972063721597E-3</c:v>
                </c:pt>
                <c:pt idx="64">
                  <c:v>8.6220870367267177E-3</c:v>
                </c:pt>
                <c:pt idx="65">
                  <c:v>8.7629333945930202E-3</c:v>
                </c:pt>
                <c:pt idx="66">
                  <c:v>8.9180024768496825E-3</c:v>
                </c:pt>
                <c:pt idx="67">
                  <c:v>9.0888157941101753E-3</c:v>
                </c:pt>
                <c:pt idx="68">
                  <c:v>9.2770685757606487E-3</c:v>
                </c:pt>
                <c:pt idx="69">
                  <c:v>9.4846501967123329E-3</c:v>
                </c:pt>
                <c:pt idx="70">
                  <c:v>9.7136667455533024E-3</c:v>
                </c:pt>
                <c:pt idx="71">
                  <c:v>9.9664658209758488E-3</c:v>
                </c:pt>
                <c:pt idx="72">
                  <c:v>1.024566359464785E-2</c:v>
                </c:pt>
                <c:pt idx="73">
                  <c:v>1.0554174111309452E-2</c:v>
                </c:pt>
                <c:pt idx="74">
                  <c:v>1.0895240708888228E-2</c:v>
                </c:pt>
                <c:pt idx="75">
                  <c:v>1.127246933271703E-2</c:v>
                </c:pt>
                <c:pt idx="76">
                  <c:v>1.1689863391520101E-2</c:v>
                </c:pt>
                <c:pt idx="77">
                  <c:v>1.2151859666551251E-2</c:v>
                </c:pt>
                <c:pt idx="78">
                  <c:v>1.2663364653745745E-2</c:v>
                </c:pt>
                <c:pt idx="79">
                  <c:v>1.3229790615232249E-2</c:v>
                </c:pt>
                <c:pt idx="80">
                  <c:v>1.3857090573996075E-2</c:v>
                </c:pt>
                <c:pt idx="81">
                  <c:v>1.4551791545841557E-2</c:v>
                </c:pt>
                <c:pt idx="82">
                  <c:v>1.5321025513157683E-2</c:v>
                </c:pt>
                <c:pt idx="83">
                  <c:v>1.6172558049127959E-2</c:v>
                </c:pt>
                <c:pt idx="84">
                  <c:v>1.7114815125543362E-2</c:v>
                </c:pt>
                <c:pt idx="85">
                  <c:v>1.8156909473129413E-2</c:v>
                </c:pt>
                <c:pt idx="86">
                  <c:v>1.9308668845677331E-2</c:v>
                </c:pt>
                <c:pt idx="87">
                  <c:v>2.0580669534592082E-2</c:v>
                </c:pt>
                <c:pt idx="88">
                  <c:v>2.1984279288798356E-2</c:v>
                </c:pt>
                <c:pt idx="89">
                  <c:v>2.3531714179714096E-2</c:v>
                </c:pt>
                <c:pt idx="90">
                  <c:v>2.5236113699786684E-2</c:v>
                </c:pt>
                <c:pt idx="91">
                  <c:v>2.7111637390525252E-2</c:v>
                </c:pt>
                <c:pt idx="92">
                  <c:v>2.9173584642218042E-2</c:v>
                </c:pt>
                <c:pt idx="93">
                  <c:v>3.1438537292795304E-2</c:v>
                </c:pt>
                <c:pt idx="94">
                  <c:v>3.3924522752554039E-2</c:v>
                </c:pt>
                <c:pt idx="95">
                  <c:v>3.6651194111534419E-2</c:v>
                </c:pt>
                <c:pt idx="96">
                  <c:v>3.9640023423034985E-2</c:v>
                </c:pt>
                <c:pt idx="97">
                  <c:v>4.2914505179426125E-2</c:v>
                </c:pt>
                <c:pt idx="98">
                  <c:v>4.6500368641802202E-2</c:v>
                </c:pt>
                <c:pt idx="99">
                  <c:v>5.0425799646858852E-2</c:v>
                </c:pt>
                <c:pt idx="100">
                  <c:v>5.4721674249016458E-2</c:v>
                </c:pt>
                <c:pt idx="101">
                  <c:v>5.9421807692223147E-2</c:v>
                </c:pt>
                <c:pt idx="102">
                  <c:v>6.4563222656164279E-2</c:v>
                </c:pt>
                <c:pt idx="103">
                  <c:v>7.018644064880665E-2</c:v>
                </c:pt>
                <c:pt idx="104">
                  <c:v>7.6335800101591564E-2</c:v>
                </c:pt>
                <c:pt idx="105">
                  <c:v>8.3059804417395494E-2</c:v>
                </c:pt>
                <c:pt idx="106">
                  <c:v>9.0411503066646026E-2</c:v>
                </c:pt>
                <c:pt idx="107">
                  <c:v>9.8448908854183545E-2</c:v>
                </c:pt>
                <c:pt idx="108">
                  <c:v>0.10723545465414994</c:v>
                </c:pt>
                <c:pt idx="109">
                  <c:v>0.1168404931827564</c:v>
                </c:pt>
                <c:pt idx="110">
                  <c:v>0.12733984371220991</c:v>
                </c:pt>
                <c:pt idx="111">
                  <c:v>0.13881639000443299</c:v>
                </c:pt>
                <c:pt idx="112">
                  <c:v>0.15136073415446849</c:v>
                </c:pt>
                <c:pt idx="113">
                  <c:v>0.16507191148107989</c:v>
                </c:pt>
                <c:pt idx="114">
                  <c:v>0.18005817208907704</c:v>
                </c:pt>
                <c:pt idx="115">
                  <c:v>0.19643783525829198</c:v>
                </c:pt>
                <c:pt idx="116">
                  <c:v>0.21434022339228584</c:v>
                </c:pt>
                <c:pt idx="117">
                  <c:v>0.23390668289054337</c:v>
                </c:pt>
                <c:pt idx="118">
                  <c:v>0.25529169999621587</c:v>
                </c:pt>
                <c:pt idx="119">
                  <c:v>0.27866412042296446</c:v>
                </c:pt>
                <c:pt idx="120">
                  <c:v>0.30420848238512976</c:v>
                </c:pt>
                <c:pt idx="121">
                  <c:v>0.33212647355188585</c:v>
                </c:pt>
                <c:pt idx="122">
                  <c:v>0.36263852342532205</c:v>
                </c:pt>
                <c:pt idx="123">
                  <c:v>0.39598554371233735</c:v>
                </c:pt>
                <c:pt idx="124">
                  <c:v>0.43243083042928288</c:v>
                </c:pt>
                <c:pt idx="125">
                  <c:v>0.47226214275573031</c:v>
                </c:pt>
                <c:pt idx="126">
                  <c:v>0.51579397504964941</c:v>
                </c:pt>
                <c:pt idx="127">
                  <c:v>0.56337003996172486</c:v>
                </c:pt>
                <c:pt idx="128">
                  <c:v>0.61536598225354866</c:v>
                </c:pt>
                <c:pt idx="129">
                  <c:v>0.67219234474619316</c:v>
                </c:pt>
                <c:pt idx="130">
                  <c:v>0.73429780981656467</c:v>
                </c:pt>
                <c:pt idx="131">
                  <c:v>0.80217274203472655</c:v>
                </c:pt>
                <c:pt idx="132">
                  <c:v>0.87635305991318124</c:v>
                </c:pt>
                <c:pt idx="133">
                  <c:v>0.95742446733777464</c:v>
                </c:pt>
                <c:pt idx="134">
                  <c:v>1.0460270780898886</c:v>
                </c:pt>
                <c:pt idx="135">
                  <c:v>1.1428604699733613</c:v>
                </c:pt>
                <c:pt idx="136">
                  <c:v>1.248689208451669</c:v>
                </c:pt>
                <c:pt idx="137">
                  <c:v>1.3643488834080302</c:v>
                </c:pt>
                <c:pt idx="138">
                  <c:v>1.4907527066925981</c:v>
                </c:pt>
                <c:pt idx="139">
                  <c:v>1.6288987225487217</c:v>
                </c:pt>
                <c:pt idx="140">
                  <c:v>1.7798776878493892</c:v>
                </c:pt>
                <c:pt idx="141">
                  <c:v>1.9448816843635832</c:v>
                </c:pt>
                <c:pt idx="142">
                  <c:v>2.1252135310521871</c:v>
                </c:pt>
                <c:pt idx="143">
                  <c:v>2.3222970707098489</c:v>
                </c:pt>
                <c:pt idx="144">
                  <c:v>2.5376884121728009</c:v>
                </c:pt>
              </c:numCache>
            </c:numRef>
          </c:yVal>
          <c:smooth val="1"/>
          <c:extLst>
            <c:ext xmlns:c16="http://schemas.microsoft.com/office/drawing/2014/chart" uri="{C3380CC4-5D6E-409C-BE32-E72D297353CC}">
              <c16:uniqueId val="{00000001-B6B5-4E46-BE16-D08E9283DDCF}"/>
            </c:ext>
          </c:extLst>
        </c:ser>
        <c:ser>
          <c:idx val="2"/>
          <c:order val="2"/>
          <c:tx>
            <c:v>Loss tangent</c:v>
          </c:tx>
          <c:spPr>
            <a:ln w="12700">
              <a:solidFill>
                <a:srgbClr val="FF000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Calcs!$AB$13:$AB$157</c:f>
              <c:numCache>
                <c:formatCode>0.00E+00</c:formatCode>
                <c:ptCount val="145"/>
                <c:pt idx="0" formatCode="General">
                  <c:v>0</c:v>
                </c:pt>
                <c:pt idx="1">
                  <c:v>1.2061315254817128E-11</c:v>
                </c:pt>
                <c:pt idx="2">
                  <c:v>1.4406220987870168E-11</c:v>
                </c:pt>
                <c:pt idx="3">
                  <c:v>1.7207012565935751E-11</c:v>
                </c:pt>
                <c:pt idx="4">
                  <c:v>2.0552321229388824E-11</c:v>
                </c:pt>
                <c:pt idx="5">
                  <c:v>2.4548009498882802E-11</c:v>
                </c:pt>
                <c:pt idx="6">
                  <c:v>2.9320521202030682E-11</c:v>
                </c:pt>
                <c:pt idx="7">
                  <c:v>3.5020882796947585E-11</c:v>
                </c:pt>
                <c:pt idx="8">
                  <c:v>4.182948261481099E-11</c:v>
                </c:pt>
                <c:pt idx="9">
                  <c:v>4.9961779260895125E-11</c:v>
                </c:pt>
                <c:pt idx="10">
                  <c:v>5.9675119816819401E-11</c:v>
                </c:pt>
                <c:pt idx="11">
                  <c:v>7.1276883606485674E-11</c:v>
                </c:pt>
                <c:pt idx="12">
                  <c:v>8.5134209235732452E-11</c:v>
                </c:pt>
                <c:pt idx="13">
                  <c:v>1.0168561271853884E-10</c:v>
                </c:pt>
                <c:pt idx="14">
                  <c:v>1.2145486434617384E-10</c:v>
                </c:pt>
                <c:pt idx="15">
                  <c:v>1.450675634337611E-10</c:v>
                </c:pt>
                <c:pt idx="16">
                  <c:v>1.7327093545324316E-10</c:v>
                </c:pt>
                <c:pt idx="17">
                  <c:v>2.0695747803436846E-10</c:v>
                </c:pt>
                <c:pt idx="18">
                  <c:v>2.4719320411301217E-10</c:v>
                </c:pt>
                <c:pt idx="19">
                  <c:v>2.9525137598318611E-10</c:v>
                </c:pt>
                <c:pt idx="20">
                  <c:v>3.5265279776911129E-10</c:v>
                </c:pt>
                <c:pt idx="21">
                  <c:v>4.2121394137537896E-10</c:v>
                </c:pt>
                <c:pt idx="22">
                  <c:v>5.0310442886417218E-10</c:v>
                </c:pt>
                <c:pt idx="23">
                  <c:v>6.0091569029329391E-10</c:v>
                </c:pt>
                <c:pt idx="24">
                  <c:v>7.1774296969696408E-10</c:v>
                </c:pt>
                <c:pt idx="25">
                  <c:v>8.5728327429423779E-10</c:v>
                </c:pt>
                <c:pt idx="26">
                  <c:v>1.0239523665344205E-9</c:v>
                </c:pt>
                <c:pt idx="27">
                  <c:v>1.2230245012007318E-9</c:v>
                </c:pt>
                <c:pt idx="28">
                  <c:v>1.4607993295623849E-9</c:v>
                </c:pt>
                <c:pt idx="29">
                  <c:v>1.7448012522683517E-9</c:v>
                </c:pt>
                <c:pt idx="30">
                  <c:v>2.0840175295187231E-9</c:v>
                </c:pt>
                <c:pt idx="31">
                  <c:v>2.4891826835262637E-9</c:v>
                </c:pt>
                <c:pt idx="32">
                  <c:v>2.9731181932034449E-9</c:v>
                </c:pt>
                <c:pt idx="33">
                  <c:v>3.5511382307364711E-9</c:v>
                </c:pt>
                <c:pt idx="34">
                  <c:v>4.2415342796078452E-9</c:v>
                </c:pt>
                <c:pt idx="35">
                  <c:v>5.0661539698378259E-9</c:v>
                </c:pt>
                <c:pt idx="36">
                  <c:v>6.0510924477254324E-9</c:v>
                </c:pt>
                <c:pt idx="37">
                  <c:v>7.2275181585315819E-9</c:v>
                </c:pt>
                <c:pt idx="38">
                  <c:v>8.6326591740536578E-9</c:v>
                </c:pt>
                <c:pt idx="39">
                  <c:v>1.0310981277494794E-8</c:v>
                </c:pt>
                <c:pt idx="40">
                  <c:v>1.2315595086203892E-8</c:v>
                </c:pt>
                <c:pt idx="41">
                  <c:v>1.4709936740781366E-8</c:v>
                </c:pt>
                <c:pt idx="42">
                  <c:v>1.7569775346071906E-8</c:v>
                </c:pt>
                <c:pt idx="43">
                  <c:v>2.0985610689651329E-8</c:v>
                </c:pt>
                <c:pt idx="44">
                  <c:v>2.5065537113772366E-8</c:v>
                </c:pt>
                <c:pt idx="45">
                  <c:v>2.9938664168192407E-8</c:v>
                </c:pt>
                <c:pt idx="46">
                  <c:v>3.5759202290675E-8</c:v>
                </c:pt>
                <c:pt idx="47">
                  <c:v>4.2711342806803032E-8</c:v>
                </c:pt>
                <c:pt idx="48">
                  <c:v>5.1015086677030283E-8</c:v>
                </c:pt>
                <c:pt idx="49">
                  <c:v>6.0933206442069102E-8</c:v>
                </c:pt>
                <c:pt idx="50">
                  <c:v>7.2779561677850454E-8</c:v>
                </c:pt>
                <c:pt idx="51">
                  <c:v>8.6929031103195166E-8</c:v>
                </c:pt>
                <c:pt idx="52">
                  <c:v>1.0382937564242088E-7</c:v>
                </c:pt>
                <c:pt idx="53">
                  <c:v>1.2401540785030896E-7</c:v>
                </c:pt>
                <c:pt idx="54">
                  <c:v>1.4812591609185058E-7</c:v>
                </c:pt>
                <c:pt idx="55">
                  <c:v>1.7692387904359341E-7</c:v>
                </c:pt>
                <c:pt idx="56">
                  <c:v>2.1132061020586125E-7</c:v>
                </c:pt>
                <c:pt idx="57">
                  <c:v>2.5240459648058231E-7</c:v>
                </c:pt>
                <c:pt idx="58">
                  <c:v>3.014759434134862E-7</c:v>
                </c:pt>
                <c:pt idx="59">
                  <c:v>3.6008751712270647E-7</c:v>
                </c:pt>
                <c:pt idx="60">
                  <c:v>4.3009408485292464E-7</c:v>
                </c:pt>
                <c:pt idx="61">
                  <c:v>5.1371100921123865E-7</c:v>
                </c:pt>
                <c:pt idx="62">
                  <c:v>6.1358435346785244E-7</c:v>
                </c:pt>
                <c:pt idx="63">
                  <c:v>7.3287461640860196E-7</c:v>
                </c:pt>
                <c:pt idx="64">
                  <c:v>8.7535674653443737E-7</c:v>
                </c:pt>
                <c:pt idx="65">
                  <c:v>1.0455396005640149E-6</c:v>
                </c:pt>
                <c:pt idx="66">
                  <c:v>1.2488086265118584E-6</c:v>
                </c:pt>
                <c:pt idx="67">
                  <c:v>1.491596286557823E-6</c:v>
                </c:pt>
                <c:pt idx="68">
                  <c:v>1.7815856127511788E-6</c:v>
                </c:pt>
                <c:pt idx="69">
                  <c:v>2.1279533370834444E-6</c:v>
                </c:pt>
                <c:pt idx="70">
                  <c:v>2.5416602897976967E-6</c:v>
                </c:pt>
                <c:pt idx="71">
                  <c:v>3.0357982556086427E-6</c:v>
                </c:pt>
                <c:pt idx="72">
                  <c:v>3.6260042641221857E-6</c:v>
                </c:pt>
                <c:pt idx="73">
                  <c:v>4.330955424703038E-6</c:v>
                </c:pt>
                <c:pt idx="74">
                  <c:v>5.172959964873503E-6</c:v>
                </c:pt>
                <c:pt idx="75">
                  <c:v>6.1786631756938273E-6</c:v>
                </c:pt>
                <c:pt idx="76">
                  <c:v>7.3798906038137989E-6</c:v>
                </c:pt>
                <c:pt idx="77">
                  <c:v>8.8146551730655472E-6</c:v>
                </c:pt>
                <c:pt idx="78">
                  <c:v>1.0528360106028965E-5</c:v>
                </c:pt>
                <c:pt idx="79">
                  <c:v>1.2575235712104692E-5</c:v>
                </c:pt>
                <c:pt idx="80">
                  <c:v>1.5020055509351151E-5</c:v>
                </c:pt>
                <c:pt idx="81">
                  <c:v>1.7940185986878114E-5</c:v>
                </c:pt>
                <c:pt idx="82">
                  <c:v>2.1428034872667486E-5</c:v>
                </c:pt>
                <c:pt idx="83">
                  <c:v>2.5593975382423301E-5</c:v>
                </c:pt>
                <c:pt idx="84">
                  <c:v>3.0569838987505126E-5</c:v>
                </c:pt>
                <c:pt idx="85">
                  <c:v>3.6513087230824175E-5</c:v>
                </c:pt>
                <c:pt idx="86">
                  <c:v>4.3611794608100455E-5</c:v>
                </c:pt>
                <c:pt idx="87">
                  <c:v>5.209060019809802E-5</c:v>
                </c:pt>
                <c:pt idx="88">
                  <c:v>6.2217816381582633E-5</c:v>
                </c:pt>
                <c:pt idx="89">
                  <c:v>7.4313919604897865E-5</c:v>
                </c:pt>
                <c:pt idx="90">
                  <c:v>8.8761691878951551E-5</c:v>
                </c:pt>
                <c:pt idx="91">
                  <c:v>1.0601833394203944E-4</c:v>
                </c:pt>
                <c:pt idx="92">
                  <c:v>1.2662993340836886E-4</c:v>
                </c:pt>
                <c:pt idx="93">
                  <c:v>1.5124874574782887E-4</c:v>
                </c:pt>
                <c:pt idx="94">
                  <c:v>1.806538349547889E-4</c:v>
                </c:pt>
                <c:pt idx="95">
                  <c:v>2.1577572708129768E-4</c:v>
                </c:pt>
                <c:pt idx="96">
                  <c:v>2.5772585679741995E-4</c:v>
                </c:pt>
                <c:pt idx="97">
                  <c:v>3.0783173881712011E-4</c:v>
                </c:pt>
                <c:pt idx="98">
                  <c:v>3.6767897719186201E-4</c:v>
                </c:pt>
                <c:pt idx="99">
                  <c:v>4.3916144185888366E-4</c:v>
                </c:pt>
                <c:pt idx="100">
                  <c:v>5.2454120028443769E-4</c:v>
                </c:pt>
                <c:pt idx="101">
                  <c:v>6.265201007429308E-4</c:v>
                </c:pt>
                <c:pt idx="102">
                  <c:v>7.4832527248971145E-4</c:v>
                </c:pt>
                <c:pt idx="103">
                  <c:v>8.9381124848629935E-4</c:v>
                </c:pt>
                <c:pt idx="104">
                  <c:v>1.0675819423586566E-3</c:v>
                </c:pt>
                <c:pt idx="105">
                  <c:v>1.2751363395576598E-3</c:v>
                </c:pt>
                <c:pt idx="106">
                  <c:v>1.5230425131284755E-3</c:v>
                </c:pt>
                <c:pt idx="107">
                  <c:v>1.8191454708297184E-3</c:v>
                </c:pt>
                <c:pt idx="108">
                  <c:v>2.1728154109386471E-3</c:v>
                </c:pt>
                <c:pt idx="109">
                  <c:v>2.5952442428142696E-3</c:v>
                </c:pt>
                <c:pt idx="110">
                  <c:v>3.0997997556317927E-3</c:v>
                </c:pt>
                <c:pt idx="111">
                  <c:v>3.7024486429821477E-3</c:v>
                </c:pt>
                <c:pt idx="112">
                  <c:v>4.4222617699788778E-3</c:v>
                </c:pt>
                <c:pt idx="113">
                  <c:v>5.2820176720844297E-3</c:v>
                </c:pt>
                <c:pt idx="114">
                  <c:v>6.3089233834173223E-3</c:v>
                </c:pt>
                <c:pt idx="115">
                  <c:v>7.5354754052011164E-3</c:v>
                </c:pt>
                <c:pt idx="116">
                  <c:v>9.0004880597604215E-3</c:v>
                </c:pt>
                <c:pt idx="117">
                  <c:v>1.0750321772396236E-2</c:v>
                </c:pt>
                <c:pt idx="118">
                  <c:v>1.284035015020428E-2</c:v>
                </c:pt>
                <c:pt idx="119">
                  <c:v>1.5336712283645504E-2</c:v>
                </c:pt>
                <c:pt idx="120">
                  <c:v>1.8318405722571422E-2</c:v>
                </c:pt>
                <c:pt idx="121">
                  <c:v>2.187978635907321E-2</c:v>
                </c:pt>
                <c:pt idx="122">
                  <c:v>2.6133554326117723E-2</c:v>
                </c:pt>
                <c:pt idx="123">
                  <c:v>3.1214320400936288E-2</c:v>
                </c:pt>
                <c:pt idx="124">
                  <c:v>3.7282865772244531E-2</c:v>
                </c:pt>
                <c:pt idx="125">
                  <c:v>4.4531229971917267E-2</c:v>
                </c:pt>
                <c:pt idx="126">
                  <c:v>5.3188787979063096E-2</c:v>
                </c:pt>
                <c:pt idx="127">
                  <c:v>6.3529508806871263E-2</c:v>
                </c:pt>
                <c:pt idx="128">
                  <c:v>7.5880625270706242E-2</c:v>
                </c:pt>
                <c:pt idx="129">
                  <c:v>9.0632989292852545E-2</c:v>
                </c:pt>
                <c:pt idx="130">
                  <c:v>0.10825344043823361</c:v>
                </c:pt>
                <c:pt idx="131">
                  <c:v>0.12929957908426126</c:v>
                </c:pt>
                <c:pt idx="132">
                  <c:v>0.15443741172278194</c:v>
                </c:pt>
                <c:pt idx="133">
                  <c:v>0.18446242678090255</c:v>
                </c:pt>
                <c:pt idx="134">
                  <c:v>0.22032476790648264</c:v>
                </c:pt>
                <c:pt idx="135">
                  <c:v>0.26315930132862764</c:v>
                </c:pt>
                <c:pt idx="136">
                  <c:v>0.31432152877685526</c:v>
                </c:pt>
                <c:pt idx="137">
                  <c:v>0.37543048242570998</c:v>
                </c:pt>
                <c:pt idx="138">
                  <c:v>0.44841995927827094</c:v>
                </c:pt>
                <c:pt idx="139">
                  <c:v>0.53559971630411207</c:v>
                </c:pt>
                <c:pt idx="140">
                  <c:v>0.63972856285602464</c:v>
                </c:pt>
                <c:pt idx="141">
                  <c:v>0.76410166338001206</c:v>
                </c:pt>
                <c:pt idx="142">
                  <c:v>0.91265481311876495</c:v>
                </c:pt>
                <c:pt idx="143">
                  <c:v>1.0900889866203587</c:v>
                </c:pt>
                <c:pt idx="144">
                  <c:v>1.3020191003982207</c:v>
                </c:pt>
              </c:numCache>
            </c:numRef>
          </c:yVal>
          <c:smooth val="1"/>
          <c:extLst>
            <c:ext xmlns:c16="http://schemas.microsoft.com/office/drawing/2014/chart" uri="{C3380CC4-5D6E-409C-BE32-E72D297353CC}">
              <c16:uniqueId val="{00000002-B6B5-4E46-BE16-D08E9283DDCF}"/>
            </c:ext>
          </c:extLst>
        </c:ser>
        <c:ser>
          <c:idx val="3"/>
          <c:order val="3"/>
          <c:tx>
            <c:v>Dielectric conductivity</c:v>
          </c:tx>
          <c:spPr>
            <a:ln w="12700">
              <a:solidFill>
                <a:srgbClr val="00FFFF"/>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Calcs!$AF$13:$AF$157</c:f>
              <c:numCache>
                <c:formatCode>0.00E+00</c:formatCode>
                <c:ptCount val="145"/>
                <c:pt idx="0">
                  <c:v>3.4437494311495441E-16</c:v>
                </c:pt>
                <c:pt idx="1">
                  <c:v>3.4437494311495441E-16</c:v>
                </c:pt>
                <c:pt idx="2">
                  <c:v>3.4437494311495441E-16</c:v>
                </c:pt>
                <c:pt idx="3">
                  <c:v>3.4437494311495441E-16</c:v>
                </c:pt>
                <c:pt idx="4">
                  <c:v>3.4437494311495441E-16</c:v>
                </c:pt>
                <c:pt idx="5">
                  <c:v>3.4437494311495441E-16</c:v>
                </c:pt>
                <c:pt idx="6">
                  <c:v>3.4437494311495441E-16</c:v>
                </c:pt>
                <c:pt idx="7">
                  <c:v>3.4437494311495441E-16</c:v>
                </c:pt>
                <c:pt idx="8">
                  <c:v>3.4437494311495441E-16</c:v>
                </c:pt>
                <c:pt idx="9">
                  <c:v>3.4437494311495441E-16</c:v>
                </c:pt>
                <c:pt idx="10">
                  <c:v>3.4437494311495441E-16</c:v>
                </c:pt>
                <c:pt idx="11">
                  <c:v>3.4437494311495441E-16</c:v>
                </c:pt>
                <c:pt idx="12">
                  <c:v>3.4437494311495441E-16</c:v>
                </c:pt>
                <c:pt idx="13">
                  <c:v>3.4437494311495441E-16</c:v>
                </c:pt>
                <c:pt idx="14">
                  <c:v>3.4437494311495441E-16</c:v>
                </c:pt>
                <c:pt idx="15">
                  <c:v>3.4437494311495441E-16</c:v>
                </c:pt>
                <c:pt idx="16">
                  <c:v>3.4437494311495441E-16</c:v>
                </c:pt>
                <c:pt idx="17">
                  <c:v>3.4437494311495441E-16</c:v>
                </c:pt>
                <c:pt idx="18">
                  <c:v>3.4437494311495441E-16</c:v>
                </c:pt>
                <c:pt idx="19">
                  <c:v>3.4437494311495441E-16</c:v>
                </c:pt>
                <c:pt idx="20">
                  <c:v>3.4437494311495441E-16</c:v>
                </c:pt>
                <c:pt idx="21">
                  <c:v>3.4437494311495441E-16</c:v>
                </c:pt>
                <c:pt idx="22">
                  <c:v>3.4437494311495441E-16</c:v>
                </c:pt>
                <c:pt idx="23">
                  <c:v>3.4437494311495441E-16</c:v>
                </c:pt>
                <c:pt idx="24">
                  <c:v>3.4437494311495441E-16</c:v>
                </c:pt>
                <c:pt idx="25">
                  <c:v>3.4437494311495441E-16</c:v>
                </c:pt>
                <c:pt idx="26">
                  <c:v>3.4437494311495441E-16</c:v>
                </c:pt>
                <c:pt idx="27">
                  <c:v>3.4437494311495441E-16</c:v>
                </c:pt>
                <c:pt idx="28">
                  <c:v>3.4437494311495441E-16</c:v>
                </c:pt>
                <c:pt idx="29">
                  <c:v>3.4437494311495441E-16</c:v>
                </c:pt>
                <c:pt idx="30">
                  <c:v>3.4437494311495441E-16</c:v>
                </c:pt>
                <c:pt idx="31">
                  <c:v>3.4437494311495441E-16</c:v>
                </c:pt>
                <c:pt idx="32">
                  <c:v>3.4437494311495441E-16</c:v>
                </c:pt>
                <c:pt idx="33">
                  <c:v>3.4437494311495441E-16</c:v>
                </c:pt>
                <c:pt idx="34">
                  <c:v>3.4437494311495441E-16</c:v>
                </c:pt>
                <c:pt idx="35">
                  <c:v>3.4437494311495441E-16</c:v>
                </c:pt>
                <c:pt idx="36">
                  <c:v>3.4437494311495441E-16</c:v>
                </c:pt>
                <c:pt idx="37">
                  <c:v>3.4437494311495441E-16</c:v>
                </c:pt>
                <c:pt idx="38">
                  <c:v>3.4437494311495441E-16</c:v>
                </c:pt>
                <c:pt idx="39">
                  <c:v>3.4437494311495441E-16</c:v>
                </c:pt>
                <c:pt idx="40">
                  <c:v>3.4437494311495441E-16</c:v>
                </c:pt>
                <c:pt idx="41">
                  <c:v>3.4437494311495441E-16</c:v>
                </c:pt>
                <c:pt idx="42">
                  <c:v>3.4437494311495441E-16</c:v>
                </c:pt>
                <c:pt idx="43">
                  <c:v>3.4437494311495441E-16</c:v>
                </c:pt>
                <c:pt idx="44">
                  <c:v>3.4437494311495441E-16</c:v>
                </c:pt>
                <c:pt idx="45">
                  <c:v>3.4437494311495441E-16</c:v>
                </c:pt>
                <c:pt idx="46">
                  <c:v>3.4437494311495441E-16</c:v>
                </c:pt>
                <c:pt idx="47">
                  <c:v>3.4437494311495441E-16</c:v>
                </c:pt>
                <c:pt idx="48">
                  <c:v>3.4437494311495441E-16</c:v>
                </c:pt>
                <c:pt idx="49">
                  <c:v>3.4437494311495441E-16</c:v>
                </c:pt>
                <c:pt idx="50">
                  <c:v>3.4437494311495441E-16</c:v>
                </c:pt>
                <c:pt idx="51">
                  <c:v>3.4437494311495441E-16</c:v>
                </c:pt>
                <c:pt idx="52">
                  <c:v>3.4437494311495441E-16</c:v>
                </c:pt>
                <c:pt idx="53">
                  <c:v>3.4437494311495441E-16</c:v>
                </c:pt>
                <c:pt idx="54">
                  <c:v>3.4437494311495441E-16</c:v>
                </c:pt>
                <c:pt idx="55">
                  <c:v>3.4437494311495441E-16</c:v>
                </c:pt>
                <c:pt idx="56">
                  <c:v>3.4437494311495441E-16</c:v>
                </c:pt>
                <c:pt idx="57">
                  <c:v>3.4437494311495441E-16</c:v>
                </c:pt>
                <c:pt idx="58">
                  <c:v>3.4437494311495441E-16</c:v>
                </c:pt>
                <c:pt idx="59">
                  <c:v>3.4437494311495441E-16</c:v>
                </c:pt>
                <c:pt idx="60">
                  <c:v>3.4437494311495441E-16</c:v>
                </c:pt>
                <c:pt idx="61">
                  <c:v>3.4437494311495441E-16</c:v>
                </c:pt>
                <c:pt idx="62">
                  <c:v>3.4437494311495441E-16</c:v>
                </c:pt>
                <c:pt idx="63">
                  <c:v>3.4437494311495441E-16</c:v>
                </c:pt>
                <c:pt idx="64">
                  <c:v>3.4437494311495441E-16</c:v>
                </c:pt>
                <c:pt idx="65">
                  <c:v>3.4437494311495441E-16</c:v>
                </c:pt>
                <c:pt idx="66">
                  <c:v>3.4437494311495441E-16</c:v>
                </c:pt>
                <c:pt idx="67">
                  <c:v>3.4437494311495441E-16</c:v>
                </c:pt>
                <c:pt idx="68">
                  <c:v>3.4437494311495441E-16</c:v>
                </c:pt>
                <c:pt idx="69">
                  <c:v>3.4437494311495441E-16</c:v>
                </c:pt>
                <c:pt idx="70">
                  <c:v>3.4437494311495441E-16</c:v>
                </c:pt>
                <c:pt idx="71">
                  <c:v>3.4437494311495441E-16</c:v>
                </c:pt>
                <c:pt idx="72">
                  <c:v>3.4437494311495441E-16</c:v>
                </c:pt>
                <c:pt idx="73">
                  <c:v>3.4437494311495441E-16</c:v>
                </c:pt>
                <c:pt idx="74">
                  <c:v>3.4437494311495441E-16</c:v>
                </c:pt>
                <c:pt idx="75">
                  <c:v>3.4437494311495441E-16</c:v>
                </c:pt>
                <c:pt idx="76">
                  <c:v>3.4437494311495441E-16</c:v>
                </c:pt>
                <c:pt idx="77">
                  <c:v>3.4437494311495441E-16</c:v>
                </c:pt>
                <c:pt idx="78">
                  <c:v>3.4437494311495441E-16</c:v>
                </c:pt>
                <c:pt idx="79">
                  <c:v>3.4437494311495441E-16</c:v>
                </c:pt>
                <c:pt idx="80">
                  <c:v>3.4437494311495441E-16</c:v>
                </c:pt>
                <c:pt idx="81">
                  <c:v>3.4437494311495441E-16</c:v>
                </c:pt>
                <c:pt idx="82">
                  <c:v>3.4437494311495441E-16</c:v>
                </c:pt>
                <c:pt idx="83">
                  <c:v>3.4437494311495441E-16</c:v>
                </c:pt>
                <c:pt idx="84">
                  <c:v>3.4437494311495441E-16</c:v>
                </c:pt>
                <c:pt idx="85">
                  <c:v>3.4437494311495441E-16</c:v>
                </c:pt>
                <c:pt idx="86">
                  <c:v>3.4437494311495441E-16</c:v>
                </c:pt>
                <c:pt idx="87">
                  <c:v>3.4437494311495441E-16</c:v>
                </c:pt>
                <c:pt idx="88">
                  <c:v>3.4437494311495441E-16</c:v>
                </c:pt>
                <c:pt idx="89">
                  <c:v>3.4437494311495441E-16</c:v>
                </c:pt>
                <c:pt idx="90">
                  <c:v>3.4437494311495441E-16</c:v>
                </c:pt>
                <c:pt idx="91">
                  <c:v>3.4437494311495441E-16</c:v>
                </c:pt>
                <c:pt idx="92">
                  <c:v>3.4437494311495441E-16</c:v>
                </c:pt>
                <c:pt idx="93">
                  <c:v>3.4437494311495441E-16</c:v>
                </c:pt>
                <c:pt idx="94">
                  <c:v>3.4437494311495441E-16</c:v>
                </c:pt>
                <c:pt idx="95">
                  <c:v>3.4437494311495441E-16</c:v>
                </c:pt>
                <c:pt idx="96">
                  <c:v>3.4437494311495441E-16</c:v>
                </c:pt>
                <c:pt idx="97">
                  <c:v>3.4437494311495441E-16</c:v>
                </c:pt>
                <c:pt idx="98">
                  <c:v>3.4437494311495441E-16</c:v>
                </c:pt>
                <c:pt idx="99">
                  <c:v>3.4437494311495441E-16</c:v>
                </c:pt>
                <c:pt idx="100">
                  <c:v>3.4437494311495441E-16</c:v>
                </c:pt>
                <c:pt idx="101">
                  <c:v>3.4437494311495441E-16</c:v>
                </c:pt>
                <c:pt idx="102">
                  <c:v>3.4437494311495441E-16</c:v>
                </c:pt>
                <c:pt idx="103">
                  <c:v>3.4437494311495441E-16</c:v>
                </c:pt>
                <c:pt idx="104">
                  <c:v>3.4437494311495441E-16</c:v>
                </c:pt>
                <c:pt idx="105">
                  <c:v>3.4437494311495441E-16</c:v>
                </c:pt>
                <c:pt idx="106">
                  <c:v>3.4437494311495441E-16</c:v>
                </c:pt>
                <c:pt idx="107">
                  <c:v>3.4437494311495441E-16</c:v>
                </c:pt>
                <c:pt idx="108">
                  <c:v>3.4437494311495441E-16</c:v>
                </c:pt>
                <c:pt idx="109">
                  <c:v>3.4437494311495441E-16</c:v>
                </c:pt>
                <c:pt idx="110">
                  <c:v>3.4437494311495441E-16</c:v>
                </c:pt>
                <c:pt idx="111">
                  <c:v>3.4437494311495441E-16</c:v>
                </c:pt>
                <c:pt idx="112">
                  <c:v>3.4437494311495441E-16</c:v>
                </c:pt>
                <c:pt idx="113">
                  <c:v>3.4437494311495441E-16</c:v>
                </c:pt>
                <c:pt idx="114">
                  <c:v>3.4437494311495441E-16</c:v>
                </c:pt>
                <c:pt idx="115">
                  <c:v>3.4437494311495441E-16</c:v>
                </c:pt>
                <c:pt idx="116">
                  <c:v>3.4437494311495441E-16</c:v>
                </c:pt>
                <c:pt idx="117">
                  <c:v>3.4437494311495441E-16</c:v>
                </c:pt>
                <c:pt idx="118">
                  <c:v>3.4437494311495441E-16</c:v>
                </c:pt>
                <c:pt idx="119">
                  <c:v>3.4437494311495441E-16</c:v>
                </c:pt>
                <c:pt idx="120">
                  <c:v>3.4437494311495441E-16</c:v>
                </c:pt>
                <c:pt idx="121">
                  <c:v>3.4437494311495441E-16</c:v>
                </c:pt>
                <c:pt idx="122">
                  <c:v>3.4437494311495441E-16</c:v>
                </c:pt>
                <c:pt idx="123">
                  <c:v>3.4437494311495441E-16</c:v>
                </c:pt>
                <c:pt idx="124">
                  <c:v>3.4437494311495441E-16</c:v>
                </c:pt>
                <c:pt idx="125">
                  <c:v>3.4437494311495441E-16</c:v>
                </c:pt>
                <c:pt idx="126">
                  <c:v>3.4437494311495441E-16</c:v>
                </c:pt>
                <c:pt idx="127">
                  <c:v>3.4437494311495441E-16</c:v>
                </c:pt>
                <c:pt idx="128">
                  <c:v>3.4437494311495441E-16</c:v>
                </c:pt>
                <c:pt idx="129">
                  <c:v>3.4437494311495441E-16</c:v>
                </c:pt>
                <c:pt idx="130">
                  <c:v>3.4437494311495441E-16</c:v>
                </c:pt>
                <c:pt idx="131">
                  <c:v>3.4437494311495441E-16</c:v>
                </c:pt>
                <c:pt idx="132">
                  <c:v>3.4437494311495441E-16</c:v>
                </c:pt>
                <c:pt idx="133">
                  <c:v>3.4437494311495441E-16</c:v>
                </c:pt>
                <c:pt idx="134">
                  <c:v>3.4437494311495441E-16</c:v>
                </c:pt>
                <c:pt idx="135">
                  <c:v>3.4437494311495441E-16</c:v>
                </c:pt>
                <c:pt idx="136">
                  <c:v>3.4437494311495441E-16</c:v>
                </c:pt>
                <c:pt idx="137">
                  <c:v>3.4437494311495441E-16</c:v>
                </c:pt>
                <c:pt idx="138">
                  <c:v>3.4437494311495441E-16</c:v>
                </c:pt>
                <c:pt idx="139">
                  <c:v>3.4437494311495441E-16</c:v>
                </c:pt>
                <c:pt idx="140">
                  <c:v>3.4437494311495441E-16</c:v>
                </c:pt>
                <c:pt idx="141">
                  <c:v>3.4437494311495441E-16</c:v>
                </c:pt>
                <c:pt idx="142">
                  <c:v>3.4437494311495441E-16</c:v>
                </c:pt>
                <c:pt idx="143">
                  <c:v>3.4437494311495441E-16</c:v>
                </c:pt>
                <c:pt idx="144">
                  <c:v>3.4437494311495441E-16</c:v>
                </c:pt>
              </c:numCache>
            </c:numRef>
          </c:yVal>
          <c:smooth val="1"/>
          <c:extLst>
            <c:ext xmlns:c16="http://schemas.microsoft.com/office/drawing/2014/chart" uri="{C3380CC4-5D6E-409C-BE32-E72D297353CC}">
              <c16:uniqueId val="{00000003-B6B5-4E46-BE16-D08E9283DDCF}"/>
            </c:ext>
          </c:extLst>
        </c:ser>
        <c:ser>
          <c:idx val="4"/>
          <c:order val="4"/>
          <c:tx>
            <c:v>Total</c:v>
          </c:tx>
          <c:spPr>
            <a:ln w="12700">
              <a:solidFill>
                <a:srgbClr val="80008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Calcs!$AI$13:$AI$157</c:f>
              <c:numCache>
                <c:formatCode>0.00E+00</c:formatCode>
                <c:ptCount val="145"/>
                <c:pt idx="0">
                  <c:v>8.2287234009639047E-3</c:v>
                </c:pt>
                <c:pt idx="1">
                  <c:v>8.2349201186957648E-3</c:v>
                </c:pt>
                <c:pt idx="2">
                  <c:v>8.2354958832235314E-3</c:v>
                </c:pt>
                <c:pt idx="3">
                  <c:v>8.2361251574669999E-3</c:v>
                </c:pt>
                <c:pt idx="4">
                  <c:v>8.2368129178911828E-3</c:v>
                </c:pt>
                <c:pt idx="5">
                  <c:v>8.2375646030473058E-3</c:v>
                </c:pt>
                <c:pt idx="6">
                  <c:v>8.2383861580657899E-3</c:v>
                </c:pt>
                <c:pt idx="7">
                  <c:v>8.2392840821298458E-3</c:v>
                </c:pt>
                <c:pt idx="8">
                  <c:v>8.2402654794053211E-3</c:v>
                </c:pt>
                <c:pt idx="9">
                  <c:v>8.2413381160702653E-3</c:v>
                </c:pt>
                <c:pt idx="10">
                  <c:v>8.2425104821165704E-3</c:v>
                </c:pt>
                <c:pt idx="11">
                  <c:v>8.2437918589098463E-3</c:v>
                </c:pt>
                <c:pt idx="12">
                  <c:v>8.2451923935267877E-3</c:v>
                </c:pt>
                <c:pt idx="13">
                  <c:v>8.2467231794031235E-3</c:v>
                </c:pt>
                <c:pt idx="14">
                  <c:v>8.2483963454327604E-3</c:v>
                </c:pt>
                <c:pt idx="15">
                  <c:v>8.2502251528475488E-3</c:v>
                </c:pt>
                <c:pt idx="16">
                  <c:v>8.2522241015667401E-3</c:v>
                </c:pt>
                <c:pt idx="17">
                  <c:v>8.2544090466695978E-3</c:v>
                </c:pt>
                <c:pt idx="18">
                  <c:v>8.2567973256887257E-3</c:v>
                </c:pt>
                <c:pt idx="19">
                  <c:v>8.2594078983552095E-3</c:v>
                </c:pt>
                <c:pt idx="20">
                  <c:v>8.2622614995084102E-3</c:v>
                </c:pt>
                <c:pt idx="21">
                  <c:v>8.2653808066393171E-3</c:v>
                </c:pt>
                <c:pt idx="22">
                  <c:v>8.2687906236166859E-3</c:v>
                </c:pt>
                <c:pt idx="23">
                  <c:v>8.2725180820282154E-3</c:v>
                </c:pt>
                <c:pt idx="24">
                  <c:v>8.2765928619666709E-3</c:v>
                </c:pt>
                <c:pt idx="25">
                  <c:v>8.2810474342688341E-3</c:v>
                </c:pt>
                <c:pt idx="26">
                  <c:v>8.2859173262821439E-3</c:v>
                </c:pt>
                <c:pt idx="27">
                  <c:v>8.291241413552081E-3</c:v>
                </c:pt>
                <c:pt idx="28">
                  <c:v>8.2970622401713177E-3</c:v>
                </c:pt>
                <c:pt idx="29">
                  <c:v>8.3034263706487053E-3</c:v>
                </c:pt>
                <c:pt idx="30">
                  <c:v>8.3103847766196753E-3</c:v>
                </c:pt>
                <c:pt idx="31">
                  <c:v>8.3179932620390962E-3</c:v>
                </c:pt>
                <c:pt idx="32">
                  <c:v>8.3263129309177602E-3</c:v>
                </c:pt>
                <c:pt idx="33">
                  <c:v>8.335410702153729E-3</c:v>
                </c:pt>
                <c:pt idx="34">
                  <c:v>8.3453598765234147E-3</c:v>
                </c:pt>
                <c:pt idx="35">
                  <c:v>8.3562407615087129E-3</c:v>
                </c:pt>
                <c:pt idx="36">
                  <c:v>8.368141360328131E-3</c:v>
                </c:pt>
                <c:pt idx="37">
                  <c:v>8.3811581323215111E-3</c:v>
                </c:pt>
                <c:pt idx="38">
                  <c:v>8.3953968327028367E-3</c:v>
                </c:pt>
                <c:pt idx="39">
                  <c:v>8.4109734407344181E-3</c:v>
                </c:pt>
                <c:pt idx="40">
                  <c:v>8.4280151865126617E-3</c:v>
                </c:pt>
                <c:pt idx="41">
                  <c:v>8.4466616878835863E-3</c:v>
                </c:pt>
                <c:pt idx="42">
                  <c:v>8.4670662105028761E-3</c:v>
                </c:pt>
                <c:pt idx="43">
                  <c:v>8.4893970658005413E-3</c:v>
                </c:pt>
                <c:pt idx="44">
                  <c:v>8.513839163582157E-3</c:v>
                </c:pt>
                <c:pt idx="45">
                  <c:v>8.5405957382811825E-3</c:v>
                </c:pt>
                <c:pt idx="46">
                  <c:v>8.5698902704870895E-3</c:v>
                </c:pt>
                <c:pt idx="47">
                  <c:v>8.6019686283867955E-3</c:v>
                </c:pt>
                <c:pt idx="48">
                  <c:v>8.637101457205431E-3</c:v>
                </c:pt>
                <c:pt idx="49">
                  <c:v>8.6755868487063161E-3</c:v>
                </c:pt>
                <c:pt idx="50">
                  <c:v>8.7177533273752016E-3</c:v>
                </c:pt>
                <c:pt idx="51">
                  <c:v>8.7639631951489036E-3</c:v>
                </c:pt>
                <c:pt idx="52">
                  <c:v>8.8146162825609997E-3</c:v>
                </c:pt>
                <c:pt idx="53">
                  <c:v>8.8701541610549314E-3</c:v>
                </c:pt>
                <c:pt idx="54">
                  <c:v>8.9310648790719462E-3</c:v>
                </c:pt>
                <c:pt idx="55">
                  <c:v>8.9978882934724034E-3</c:v>
                </c:pt>
                <c:pt idx="56">
                  <c:v>9.0712220779981742E-3</c:v>
                </c:pt>
                <c:pt idx="57">
                  <c:v>9.1517285019432817E-3</c:v>
                </c:pt>
                <c:pt idx="58">
                  <c:v>9.2401420850481003E-3</c:v>
                </c:pt>
                <c:pt idx="59">
                  <c:v>9.3372782489252945E-3</c:v>
                </c:pt>
                <c:pt idx="60">
                  <c:v>9.444043101054643E-3</c:v>
                </c:pt>
                <c:pt idx="61">
                  <c:v>9.5614445044571953E-3</c:v>
                </c:pt>
                <c:pt idx="62">
                  <c:v>9.6906046043508005E-3</c:v>
                </c:pt>
                <c:pt idx="63">
                  <c:v>9.8327740019869252E-3</c:v>
                </c:pt>
                <c:pt idx="64">
                  <c:v>9.9893477847949295E-3</c:v>
                </c:pt>
                <c:pt idx="65">
                  <c:v>1.0161883639874521E-2</c:v>
                </c:pt>
                <c:pt idx="66">
                  <c:v>1.0352122293255802E-2</c:v>
                </c:pt>
                <c:pt idx="67">
                  <c:v>1.0562010528032196E-2</c:v>
                </c:pt>
                <c:pt idx="68">
                  <c:v>1.079372703750619E-2</c:v>
                </c:pt>
                <c:pt idx="69">
                  <c:v>1.1049711360930617E-2</c:v>
                </c:pt>
                <c:pt idx="70">
                  <c:v>1.1332696124194892E-2</c:v>
                </c:pt>
                <c:pt idx="71">
                  <c:v>1.1645742759565593E-2</c:v>
                </c:pt>
                <c:pt idx="72">
                  <c:v>1.1992280799818067E-2</c:v>
                </c:pt>
                <c:pt idx="73">
                  <c:v>1.2376150724389228E-2</c:v>
                </c:pt>
                <c:pt idx="74">
                  <c:v>1.2801650170070596E-2</c:v>
                </c:pt>
                <c:pt idx="75">
                  <c:v>1.3273583099244427E-2</c:v>
                </c:pt>
                <c:pt idx="76">
                  <c:v>1.3797311241847608E-2</c:v>
                </c:pt>
                <c:pt idx="77">
                  <c:v>1.4378806798412767E-2</c:v>
                </c:pt>
                <c:pt idx="78">
                  <c:v>1.5024705029925573E-2</c:v>
                </c:pt>
                <c:pt idx="79">
                  <c:v>1.5742355006424895E-2</c:v>
                </c:pt>
                <c:pt idx="80">
                  <c:v>1.6539866510218267E-2</c:v>
                </c:pt>
                <c:pt idx="81">
                  <c:v>1.7426150997025786E-2</c:v>
                </c:pt>
                <c:pt idx="82">
                  <c:v>1.8410954751089337E-2</c:v>
                </c:pt>
                <c:pt idx="83">
                  <c:v>1.9504883093362256E-2</c:v>
                </c:pt>
                <c:pt idx="84">
                  <c:v>2.071941586943225E-2</c:v>
                </c:pt>
                <c:pt idx="85">
                  <c:v>2.2066916536622742E-2</c:v>
                </c:pt>
                <c:pt idx="86">
                  <c:v>2.3560639906957909E-2</c:v>
                </c:pt>
                <c:pt idx="87">
                  <c:v>2.5214746648338383E-2</c:v>
                </c:pt>
                <c:pt idx="88">
                  <c:v>2.704433535670157E-2</c:v>
                </c:pt>
                <c:pt idx="89">
                  <c:v>2.9065504492059104E-2</c:v>
                </c:pt>
                <c:pt idx="90">
                  <c:v>3.1295455798165624E-2</c:v>
                </c:pt>
                <c:pt idx="91">
                  <c:v>3.3752647434537583E-2</c:v>
                </c:pt>
                <c:pt idx="92">
                  <c:v>3.6456999161760373E-2</c:v>
                </c:pt>
                <c:pt idx="93">
                  <c:v>3.9430144777660991E-2</c:v>
                </c:pt>
                <c:pt idx="94">
                  <c:v>4.2695720663978337E-2</c:v>
                </c:pt>
                <c:pt idx="95">
                  <c:v>4.6279675952969043E-2</c:v>
                </c:pt>
                <c:pt idx="96">
                  <c:v>5.0210590814470872E-2</c:v>
                </c:pt>
                <c:pt idx="97">
                  <c:v>5.4519994510050608E-2</c:v>
                </c:pt>
                <c:pt idx="98">
                  <c:v>5.9242682413811955E-2</c:v>
                </c:pt>
                <c:pt idx="99">
                  <c:v>6.4417038602368373E-2</c:v>
                </c:pt>
                <c:pt idx="100">
                  <c:v>7.0085375653134205E-2</c:v>
                </c:pt>
                <c:pt idx="101">
                  <c:v>7.6294305005020518E-2</c:v>
                </c:pt>
                <c:pt idx="102">
                  <c:v>8.309515014948049E-2</c:v>
                </c:pt>
                <c:pt idx="103">
                  <c:v>9.0544412504041091E-2</c:v>
                </c:pt>
                <c:pt idx="104">
                  <c:v>9.8704297625963208E-2</c:v>
                </c:pt>
                <c:pt idx="105">
                  <c:v>0.10764330839751433</c:v>
                </c:pt>
                <c:pt idx="106">
                  <c:v>0.11743691212101687</c:v>
                </c:pt>
                <c:pt idx="107">
                  <c:v>0.12816828975083724</c:v>
                </c:pt>
                <c:pt idx="108">
                  <c:v>0.13992917730389298</c:v>
                </c:pt>
                <c:pt idx="109">
                  <c:v>0.15282081153745625</c:v>
                </c:pt>
                <c:pt idx="110">
                  <c:v>0.16695499418713844</c:v>
                </c:pt>
                <c:pt idx="111">
                  <c:v>0.18245529148143971</c:v>
                </c:pt>
                <c:pt idx="112">
                  <c:v>0.19945838840232094</c:v>
                </c:pt>
                <c:pt idx="113">
                  <c:v>0.218115620355507</c:v>
                </c:pt>
                <c:pt idx="114">
                  <c:v>0.23859470865614615</c:v>
                </c:pt>
                <c:pt idx="115">
                  <c:v>0.26108173063580786</c:v>
                </c:pt>
                <c:pt idx="116">
                  <c:v>0.28578336036077151</c:v>
                </c:pt>
                <c:pt idx="117">
                  <c:v>0.31292942206601931</c:v>
                </c:pt>
                <c:pt idx="118">
                  <c:v>0.34277580562859755</c:v>
                </c:pt>
                <c:pt idx="119">
                  <c:v>0.37560780193542309</c:v>
                </c:pt>
                <c:pt idx="120">
                  <c:v>0.411743926091095</c:v>
                </c:pt>
                <c:pt idx="121">
                  <c:v>0.45154030835493975</c:v>
                </c:pt>
                <c:pt idx="122">
                  <c:v>0.49539574684373233</c:v>
                </c:pt>
                <c:pt idx="123">
                  <c:v>0.54375753280487915</c:v>
                </c:pt>
                <c:pt idx="124">
                  <c:v>0.59712817915198269</c:v>
                </c:pt>
                <c:pt idx="125">
                  <c:v>0.65607320655400181</c:v>
                </c:pt>
                <c:pt idx="126">
                  <c:v>0.72123016938806594</c:v>
                </c:pt>
                <c:pt idx="127">
                  <c:v>0.79331913714812341</c:v>
                </c:pt>
                <c:pt idx="128">
                  <c:v>0.87315488645313066</c:v>
                </c:pt>
                <c:pt idx="129">
                  <c:v>0.96166110581974173</c:v>
                </c:pt>
                <c:pt idx="130">
                  <c:v>1.059886971287217</c:v>
                </c:pt>
                <c:pt idx="131">
                  <c:v>1.1690265175149068</c:v>
                </c:pt>
                <c:pt idx="132">
                  <c:v>1.2904413081535153</c:v>
                </c:pt>
                <c:pt idx="133">
                  <c:v>1.4256870035528331</c:v>
                </c:pt>
                <c:pt idx="134">
                  <c:v>1.5765445361135557</c:v>
                </c:pt>
                <c:pt idx="135">
                  <c:v>1.7450567372836208</c:v>
                </c:pt>
                <c:pt idx="136">
                  <c:v>1.9335714194752789</c:v>
                </c:pt>
                <c:pt idx="137">
                  <c:v>2.1447921059735875</c:v>
                </c:pt>
                <c:pt idx="138">
                  <c:v>2.3818378281119843</c:v>
                </c:pt>
                <c:pt idx="139">
                  <c:v>2.6483136786394281</c:v>
                </c:pt>
                <c:pt idx="140">
                  <c:v>2.9483941316928943</c:v>
                </c:pt>
                <c:pt idx="141">
                  <c:v>3.2869215231431594</c:v>
                </c:pt>
                <c:pt idx="142">
                  <c:v>3.6695225422690601</c:v>
                </c:pt>
                <c:pt idx="143">
                  <c:v>4.10274613102529</c:v>
                </c:pt>
                <c:pt idx="144">
                  <c:v>4.5942268376631006</c:v>
                </c:pt>
              </c:numCache>
            </c:numRef>
          </c:yVal>
          <c:smooth val="1"/>
          <c:extLst>
            <c:ext xmlns:c16="http://schemas.microsoft.com/office/drawing/2014/chart" uri="{C3380CC4-5D6E-409C-BE32-E72D297353CC}">
              <c16:uniqueId val="{00000004-B6B5-4E46-BE16-D08E9283DDCF}"/>
            </c:ext>
          </c:extLst>
        </c:ser>
        <c:dLbls>
          <c:showLegendKey val="0"/>
          <c:showVal val="0"/>
          <c:showCatName val="0"/>
          <c:showSerName val="0"/>
          <c:showPercent val="0"/>
          <c:showBubbleSize val="0"/>
        </c:dLbls>
        <c:axId val="217630016"/>
        <c:axId val="460319880"/>
      </c:scatterChart>
      <c:valAx>
        <c:axId val="217630016"/>
        <c:scaling>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(GHz)</a:t>
                </a:r>
              </a:p>
            </c:rich>
          </c:tx>
          <c:layout>
            <c:manualLayout>
              <c:xMode val="edge"/>
              <c:yMode val="edge"/>
              <c:x val="0.4137931254756349"/>
              <c:y val="0.906166359471524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60319880"/>
        <c:crossesAt val="1.0000000000000001E-30"/>
        <c:crossBetween val="midCat"/>
      </c:valAx>
      <c:valAx>
        <c:axId val="460319880"/>
        <c:scaling>
          <c:orientation val="minMax"/>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Loss (dB/foot)</a:t>
                </a:r>
              </a:p>
            </c:rich>
          </c:tx>
          <c:layout>
            <c:manualLayout>
              <c:xMode val="edge"/>
              <c:yMode val="edge"/>
              <c:x val="2.6369179154723005E-2"/>
              <c:y val="0.3833781293012364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630016"/>
        <c:crosses val="autoZero"/>
        <c:crossBetween val="midCat"/>
      </c:valAx>
      <c:spPr>
        <a:noFill/>
        <a:ln w="12700">
          <a:solidFill>
            <a:srgbClr val="808080"/>
          </a:solidFill>
          <a:prstDash val="solid"/>
        </a:ln>
      </c:spPr>
    </c:plotArea>
    <c:legend>
      <c:legendPos val="r"/>
      <c:layout>
        <c:manualLayout>
          <c:xMode val="edge"/>
          <c:yMode val="edge"/>
          <c:x val="0.15618669291113915"/>
          <c:y val="0.17694383860951662"/>
          <c:w val="0.30831640885674294"/>
          <c:h val="0.2707774791379917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Surface roughness factor</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Outer conductor</c:v>
          </c:tx>
          <c:spPr>
            <a:ln w="19050" cap="rnd">
              <a:solidFill>
                <a:schemeClr val="accent1"/>
              </a:solidFill>
              <a:round/>
            </a:ln>
            <a:effectLst/>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Calcs!$M$13:$M$157</c:f>
              <c:numCache>
                <c:formatCode>0.00%</c:formatCode>
                <c:ptCount val="14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numCache>
            </c:numRef>
          </c:yVal>
          <c:smooth val="0"/>
          <c:extLst>
            <c:ext xmlns:c16="http://schemas.microsoft.com/office/drawing/2014/chart" uri="{C3380CC4-5D6E-409C-BE32-E72D297353CC}">
              <c16:uniqueId val="{00000000-D4AE-4CC9-AC3E-887DFB6958D6}"/>
            </c:ext>
          </c:extLst>
        </c:ser>
        <c:ser>
          <c:idx val="1"/>
          <c:order val="1"/>
          <c:tx>
            <c:v>Inner conductor</c:v>
          </c:tx>
          <c:spPr>
            <a:ln w="19050" cap="rnd">
              <a:solidFill>
                <a:schemeClr val="accent2"/>
              </a:solidFill>
              <a:round/>
            </a:ln>
            <a:effectLst/>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Calcs!$N$13:$N$157</c:f>
              <c:numCache>
                <c:formatCode>0.00%</c:formatCode>
                <c:ptCount val="14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numCache>
            </c:numRef>
          </c:yVal>
          <c:smooth val="0"/>
          <c:extLst>
            <c:ext xmlns:c16="http://schemas.microsoft.com/office/drawing/2014/chart" uri="{C3380CC4-5D6E-409C-BE32-E72D297353CC}">
              <c16:uniqueId val="{00000001-D4AE-4CC9-AC3E-887DFB6958D6}"/>
            </c:ext>
          </c:extLst>
        </c:ser>
        <c:dLbls>
          <c:showLegendKey val="0"/>
          <c:showVal val="0"/>
          <c:showCatName val="0"/>
          <c:showSerName val="0"/>
          <c:showPercent val="0"/>
          <c:showBubbleSize val="0"/>
        </c:dLbls>
        <c:axId val="227342752"/>
        <c:axId val="461705648"/>
      </c:scatterChart>
      <c:valAx>
        <c:axId val="2273427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61705648"/>
        <c:crosses val="autoZero"/>
        <c:crossBetween val="midCat"/>
      </c:valAx>
      <c:valAx>
        <c:axId val="461705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Skin depth factor (%)</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273427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Equivalent cross-sectional area of conductors
Both axes on log scales</a:t>
            </a:r>
          </a:p>
        </c:rich>
      </c:tx>
      <c:layout>
        <c:manualLayout>
          <c:xMode val="edge"/>
          <c:yMode val="edge"/>
          <c:x val="0.24137927362895056"/>
          <c:y val="1.8766687313233776E-2"/>
        </c:manualLayout>
      </c:layout>
      <c:overlay val="0"/>
      <c:spPr>
        <a:noFill/>
        <a:ln w="25400">
          <a:noFill/>
        </a:ln>
      </c:spPr>
    </c:title>
    <c:autoTitleDeleted val="0"/>
    <c:plotArea>
      <c:layout>
        <c:manualLayout>
          <c:layoutTarget val="inner"/>
          <c:xMode val="edge"/>
          <c:yMode val="edge"/>
          <c:x val="0.20081135902636918"/>
          <c:y val="0.1581769436997319"/>
          <c:w val="0.69979716024340766"/>
          <c:h val="0.58713136729222515"/>
        </c:manualLayout>
      </c:layout>
      <c:scatterChart>
        <c:scatterStyle val="lineMarker"/>
        <c:varyColors val="0"/>
        <c:ser>
          <c:idx val="0"/>
          <c:order val="0"/>
          <c:tx>
            <c:v>Outside</c:v>
          </c:tx>
          <c:spPr>
            <a:ln w="38100">
              <a:solidFill>
                <a:srgbClr val="0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Calcs!$I$14:$I$157</c:f>
              <c:numCache>
                <c:formatCode>0.00E+00</c:formatCode>
                <c:ptCount val="144"/>
                <c:pt idx="0">
                  <c:v>4.1780755137904472E-7</c:v>
                </c:pt>
                <c:pt idx="1">
                  <c:v>4.1776884525971158E-7</c:v>
                </c:pt>
                <c:pt idx="2">
                  <c:v>4.1772654896957002E-7</c:v>
                </c:pt>
                <c:pt idx="3">
                  <c:v>4.1768033004681053E-7</c:v>
                </c:pt>
                <c:pt idx="4">
                  <c:v>4.1762982535353611E-7</c:v>
                </c:pt>
                <c:pt idx="5">
                  <c:v>4.1757463824932684E-7</c:v>
                </c:pt>
                <c:pt idx="6">
                  <c:v>4.1751433554653079E-7</c:v>
                </c:pt>
                <c:pt idx="7">
                  <c:v>4.1744844415971663E-7</c:v>
                </c:pt>
                <c:pt idx="8">
                  <c:v>4.1737644746595449E-7</c:v>
                </c:pt>
                <c:pt idx="9">
                  <c:v>4.1729778134192778E-7</c:v>
                </c:pt>
                <c:pt idx="10">
                  <c:v>4.1721182984686686E-7</c:v>
                </c:pt>
                <c:pt idx="11">
                  <c:v>4.1711792052461683E-7</c:v>
                </c:pt>
                <c:pt idx="12">
                  <c:v>4.1701531928352964E-7</c:v>
                </c:pt>
                <c:pt idx="13">
                  <c:v>4.1690322483562085E-7</c:v>
                </c:pt>
                <c:pt idx="14">
                  <c:v>4.167807626488813E-7</c:v>
                </c:pt>
                <c:pt idx="15">
                  <c:v>4.1664697836936027E-7</c:v>
                </c:pt>
                <c:pt idx="16">
                  <c:v>4.1650083068305292E-7</c:v>
                </c:pt>
                <c:pt idx="17">
                  <c:v>4.1634118356265253E-7</c:v>
                </c:pt>
                <c:pt idx="18">
                  <c:v>4.1616679786093395E-7</c:v>
                </c:pt>
                <c:pt idx="19">
                  <c:v>4.159763221944102E-7</c:v>
                </c:pt>
                <c:pt idx="20">
                  <c:v>4.1576828307226709E-7</c:v>
                </c:pt>
                <c:pt idx="21">
                  <c:v>4.1554107421308565E-7</c:v>
                </c:pt>
                <c:pt idx="22">
                  <c:v>4.1529294499543724E-7</c:v>
                </c:pt>
                <c:pt idx="23">
                  <c:v>4.1502198798735685E-7</c:v>
                </c:pt>
                <c:pt idx="24">
                  <c:v>4.1472612549480497E-7</c:v>
                </c:pt>
                <c:pt idx="25">
                  <c:v>4.1440309507394752E-7</c:v>
                </c:pt>
                <c:pt idx="26">
                  <c:v>4.1405043395115941E-7</c:v>
                </c:pt>
                <c:pt idx="27">
                  <c:v>4.1366546229479936E-7</c:v>
                </c:pt>
                <c:pt idx="28">
                  <c:v>4.1324526529058614E-7</c:v>
                </c:pt>
                <c:pt idx="29">
                  <c:v>4.1278667397500208E-7</c:v>
                </c:pt>
                <c:pt idx="30">
                  <c:v>4.1228624478979277E-7</c:v>
                </c:pt>
                <c:pt idx="31">
                  <c:v>4.1174023783233604E-7</c:v>
                </c:pt>
                <c:pt idx="32">
                  <c:v>4.1114459378972333E-7</c:v>
                </c:pt>
                <c:pt idx="33">
                  <c:v>4.1049490956362238E-7</c:v>
                </c:pt>
                <c:pt idx="34">
                  <c:v>4.0978641261610882E-7</c:v>
                </c:pt>
                <c:pt idx="35">
                  <c:v>4.0901393409575116E-7</c:v>
                </c:pt>
                <c:pt idx="36">
                  <c:v>4.0817188083981413E-7</c:v>
                </c:pt>
                <c:pt idx="37">
                  <c:v>4.0725420639282985E-7</c:v>
                </c:pt>
                <c:pt idx="38">
                  <c:v>4.0625438123567473E-7</c:v>
                </c:pt>
                <c:pt idx="39">
                  <c:v>4.0516536248471649E-7</c:v>
                </c:pt>
                <c:pt idx="40">
                  <c:v>4.0397956339848532E-7</c:v>
                </c:pt>
                <c:pt idx="41">
                  <c:v>4.0268882312188193E-7</c:v>
                </c:pt>
                <c:pt idx="42">
                  <c:v>4.0128437720729051E-7</c:v>
                </c:pt>
                <c:pt idx="43">
                  <c:v>3.9975682957985452E-7</c:v>
                </c:pt>
                <c:pt idx="44">
                  <c:v>3.9809612676235784E-7</c:v>
                </c:pt>
                <c:pt idx="45">
                  <c:v>3.962915353465374E-7</c:v>
                </c:pt>
                <c:pt idx="46">
                  <c:v>3.9433162389278164E-7</c:v>
                </c:pt>
                <c:pt idx="47">
                  <c:v>3.9220425066097029E-7</c:v>
                </c:pt>
                <c:pt idx="48">
                  <c:v>3.8989655882216414E-7</c:v>
                </c:pt>
                <c:pt idx="49">
                  <c:v>3.8739498107340053E-7</c:v>
                </c:pt>
                <c:pt idx="50">
                  <c:v>3.8468525587412289E-7</c:v>
                </c:pt>
                <c:pt idx="51">
                  <c:v>3.8175245783895628E-7</c:v>
                </c:pt>
                <c:pt idx="52">
                  <c:v>3.7858104515099254E-7</c:v>
                </c:pt>
                <c:pt idx="53">
                  <c:v>3.7515492719261513E-7</c:v>
                </c:pt>
                <c:pt idx="54">
                  <c:v>3.714575559127025E-7</c:v>
                </c:pt>
                <c:pt idx="55">
                  <c:v>3.6747204474009181E-7</c:v>
                </c:pt>
                <c:pt idx="56">
                  <c:v>3.6318131908715018E-7</c:v>
                </c:pt>
                <c:pt idx="57">
                  <c:v>3.5856830263001098E-7</c:v>
                </c:pt>
                <c:pt idx="58">
                  <c:v>3.5361614356058212E-7</c:v>
                </c:pt>
                <c:pt idx="59">
                  <c:v>3.4830848482706561E-7</c:v>
                </c:pt>
                <c:pt idx="60">
                  <c:v>3.4262978195146686E-7</c:v>
                </c:pt>
                <c:pt idx="61">
                  <c:v>3.3656567126155088E-7</c:v>
                </c:pt>
                <c:pt idx="62">
                  <c:v>3.3010339021951556E-7</c:v>
                </c:pt>
                <c:pt idx="63">
                  <c:v>3.2323224988371527E-7</c:v>
                </c:pt>
                <c:pt idx="64">
                  <c:v>3.1594415731650773E-7</c:v>
                </c:pt>
                <c:pt idx="65">
                  <c:v>3.0823418287284848E-7</c:v>
                </c:pt>
                <c:pt idx="66">
                  <c:v>3.0010116371345054E-7</c:v>
                </c:pt>
                <c:pt idx="67">
                  <c:v>2.9154833056308502E-7</c:v>
                </c:pt>
                <c:pt idx="68">
                  <c:v>2.8258393971686074E-7</c:v>
                </c:pt>
                <c:pt idx="69">
                  <c:v>2.732218867059852E-7</c:v>
                </c:pt>
                <c:pt idx="70">
                  <c:v>2.6348227210142771E-7</c:v>
                </c:pt>
                <c:pt idx="71">
                  <c:v>2.5339188402989394E-7</c:v>
                </c:pt>
                <c:pt idx="72">
                  <c:v>2.4298455663514758E-7</c:v>
                </c:pt>
                <c:pt idx="73">
                  <c:v>2.3230135964793983E-7</c:v>
                </c:pt>
                <c:pt idx="74">
                  <c:v>2.2139057230637529E-7</c:v>
                </c:pt>
                <c:pt idx="75">
                  <c:v>2.1030739610122773E-7</c:v>
                </c:pt>
                <c:pt idx="76">
                  <c:v>1.9911336626046686E-7</c:v>
                </c:pt>
                <c:pt idx="77">
                  <c:v>1.8787543249959095E-7</c:v>
                </c:pt>
                <c:pt idx="78">
                  <c:v>1.7666469603553219E-7</c:v>
                </c:pt>
                <c:pt idx="79">
                  <c:v>1.6555481235677325E-7</c:v>
                </c:pt>
                <c:pt idx="80">
                  <c:v>1.5462009713569637E-7</c:v>
                </c:pt>
                <c:pt idx="81">
                  <c:v>1.4393340429679302E-7</c:v>
                </c:pt>
                <c:pt idx="82">
                  <c:v>1.3356387775387779E-7</c:v>
                </c:pt>
                <c:pt idx="83">
                  <c:v>1.2357470766114279E-7</c:v>
                </c:pt>
                <c:pt idx="84">
                  <c:v>1.1402104326265856E-7</c:v>
                </c:pt>
                <c:pt idx="85">
                  <c:v>1.0494822239696492E-7</c:v>
                </c:pt>
                <c:pt idx="86">
                  <c:v>9.6390467963873471E-8</c:v>
                </c:pt>
                <c:pt idx="87">
                  <c:v>8.8370171665839512E-8</c:v>
                </c:pt>
                <c:pt idx="88">
                  <c:v>8.0897835703140457E-8</c:v>
                </c:pt>
                <c:pt idx="89">
                  <c:v>7.397267839559441E-8</c:v>
                </c:pt>
                <c:pt idx="90">
                  <c:v>6.7583838486660926E-8</c:v>
                </c:pt>
                <c:pt idx="91">
                  <c:v>6.1712046650217508E-8</c:v>
                </c:pt>
                <c:pt idx="92">
                  <c:v>5.6331583661023566E-8</c:v>
                </c:pt>
                <c:pt idx="93">
                  <c:v>5.1412322701982348E-8</c:v>
                </c:pt>
                <c:pt idx="94">
                  <c:v>4.692166300311551E-8</c:v>
                </c:pt>
                <c:pt idx="95">
                  <c:v>4.2826200980749684E-8</c:v>
                </c:pt>
                <c:pt idx="96">
                  <c:v>3.9093043903660582E-8</c:v>
                </c:pt>
                <c:pt idx="97">
                  <c:v>3.5690736055499677E-8</c:v>
                </c:pt>
                <c:pt idx="98">
                  <c:v>3.2589824239137881E-8</c:v>
                </c:pt>
                <c:pt idx="99">
                  <c:v>2.9763127978829594E-8</c:v>
                </c:pt>
                <c:pt idx="100">
                  <c:v>2.7185796119259298E-8</c:v>
                </c:pt>
                <c:pt idx="101">
                  <c:v>2.4835228474004736E-8</c:v>
                </c:pt>
                <c:pt idx="102">
                  <c:v>2.2690925808119447E-8</c:v>
                </c:pt>
                <c:pt idx="103">
                  <c:v>2.0734311750335774E-8</c:v>
                </c:pt>
                <c:pt idx="104">
                  <c:v>1.8948552342055306E-8</c:v>
                </c:pt>
                <c:pt idx="105">
                  <c:v>1.7318385865515263E-8</c:v>
                </c:pt>
                <c:pt idx="106">
                  <c:v>1.5829967650962845E-8</c:v>
                </c:pt>
                <c:pt idx="107">
                  <c:v>1.4470730532004382E-8</c:v>
                </c:pt>
                <c:pt idx="108">
                  <c:v>1.3229259961049558E-8</c:v>
                </c:pt>
                <c:pt idx="109">
                  <c:v>1.2095182314972034E-8</c:v>
                </c:pt>
                <c:pt idx="110">
                  <c:v>1.1059064911963312E-8</c:v>
                </c:pt>
                <c:pt idx="111">
                  <c:v>1.0112326396810029E-8</c:v>
                </c:pt>
                <c:pt idx="112">
                  <c:v>9.2471563114032987E-9</c:v>
                </c:pt>
                <c:pt idx="113">
                  <c:v>8.4564428148764466E-9</c:v>
                </c:pt>
                <c:pt idx="114">
                  <c:v>7.7337076469485128E-9</c:v>
                </c:pt>
                <c:pt idx="115">
                  <c:v>7.073047539841376E-9</c:v>
                </c:pt>
                <c:pt idx="116">
                  <c:v>6.4690813808083322E-9</c:v>
                </c:pt>
                <c:pt idx="117">
                  <c:v>5.9169025110277582E-9</c:v>
                </c:pt>
                <c:pt idx="118">
                  <c:v>5.4120356192458563E-9</c:v>
                </c:pt>
                <c:pt idx="119">
                  <c:v>4.9503977516855508E-9</c:v>
                </c:pt>
                <c:pt idx="120">
                  <c:v>4.5282630147225712E-9</c:v>
                </c:pt>
                <c:pt idx="121">
                  <c:v>4.142230594810425E-9</c:v>
                </c:pt>
                <c:pt idx="122">
                  <c:v>3.7891957620875543E-9</c:v>
                </c:pt>
                <c:pt idx="123">
                  <c:v>3.4663235608527684E-9</c:v>
                </c:pt>
                <c:pt idx="124">
                  <c:v>3.171024922356471E-9</c:v>
                </c:pt>
                <c:pt idx="125">
                  <c:v>2.9009349637298628E-9</c:v>
                </c:pt>
                <c:pt idx="126">
                  <c:v>2.653893261878592E-9</c:v>
                </c:pt>
                <c:pt idx="127">
                  <c:v>2.4279259132440101E-9</c:v>
                </c:pt>
                <c:pt idx="128">
                  <c:v>2.2212292098635084E-9</c:v>
                </c:pt>
                <c:pt idx="129">
                  <c:v>2.0321547794674612E-9</c:v>
                </c:pt>
                <c:pt idx="130">
                  <c:v>1.8591960527144088E-9</c:v>
                </c:pt>
                <c:pt idx="131">
                  <c:v>1.700975934330101E-9</c:v>
                </c:pt>
                <c:pt idx="132">
                  <c:v>1.5562355670884799E-9</c:v>
                </c:pt>
                <c:pt idx="133">
                  <c:v>1.4238240884341462E-9</c:v>
                </c:pt>
                <c:pt idx="134">
                  <c:v>1.3026892892527936E-9</c:v>
                </c:pt>
                <c:pt idx="135">
                  <c:v>1.191869092984173E-9</c:v>
                </c:pt>
                <c:pt idx="136">
                  <c:v>1.0904837810596643E-9</c:v>
                </c:pt>
                <c:pt idx="137">
                  <c:v>9.9772889763627007E-10</c:v>
                </c:pt>
                <c:pt idx="138">
                  <c:v>9.1286877288083585E-10</c:v>
                </c:pt>
                <c:pt idx="139">
                  <c:v>8.3523060971114113E-10</c:v>
                </c:pt>
                <c:pt idx="140">
                  <c:v>7.6419908399317785E-10</c:v>
                </c:pt>
                <c:pt idx="141">
                  <c:v>6.9921141278702903E-10</c:v>
                </c:pt>
                <c:pt idx="142">
                  <c:v>6.3975284938060816E-10</c:v>
                </c:pt>
                <c:pt idx="143">
                  <c:v>5.8535256759810306E-10</c:v>
                </c:pt>
              </c:numCache>
            </c:numRef>
          </c:yVal>
          <c:smooth val="0"/>
          <c:extLst>
            <c:ext xmlns:c16="http://schemas.microsoft.com/office/drawing/2014/chart" uri="{C3380CC4-5D6E-409C-BE32-E72D297353CC}">
              <c16:uniqueId val="{00000000-F694-4254-A29D-B41EA3FB2026}"/>
            </c:ext>
          </c:extLst>
        </c:ser>
        <c:ser>
          <c:idx val="1"/>
          <c:order val="1"/>
          <c:tx>
            <c:v>Inside</c:v>
          </c:tx>
          <c:spPr>
            <a:ln w="38100">
              <a:solidFill>
                <a:srgbClr val="FF00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Calcs!$J$14:$J$157</c:f>
              <c:numCache>
                <c:formatCode>0.00E+00</c:formatCode>
                <c:ptCount val="144"/>
                <c:pt idx="0">
                  <c:v>6.1531098483851936E-8</c:v>
                </c:pt>
                <c:pt idx="1">
                  <c:v>6.1527002673439447E-8</c:v>
                </c:pt>
                <c:pt idx="2">
                  <c:v>6.1522526862057223E-8</c:v>
                </c:pt>
                <c:pt idx="3">
                  <c:v>6.1517635834231733E-8</c:v>
                </c:pt>
                <c:pt idx="4">
                  <c:v>6.151229113069263E-8</c:v>
                </c:pt>
                <c:pt idx="5">
                  <c:v>6.1506450738985914E-8</c:v>
                </c:pt>
                <c:pt idx="6">
                  <c:v>6.1500068765409487E-8</c:v>
                </c:pt>
                <c:pt idx="7">
                  <c:v>6.1493095086503181E-8</c:v>
                </c:pt>
                <c:pt idx="8">
                  <c:v>6.1485474957586374E-8</c:v>
                </c:pt>
                <c:pt idx="9">
                  <c:v>6.1477148591050944E-8</c:v>
                </c:pt>
                <c:pt idx="10">
                  <c:v>6.1468050697343989E-8</c:v>
                </c:pt>
                <c:pt idx="11">
                  <c:v>6.1458109981343526E-8</c:v>
                </c:pt>
                <c:pt idx="12">
                  <c:v>6.1447248600028062E-8</c:v>
                </c:pt>
                <c:pt idx="13">
                  <c:v>6.1435381564733647E-8</c:v>
                </c:pt>
                <c:pt idx="14">
                  <c:v>6.1422416096175303E-8</c:v>
                </c:pt>
                <c:pt idx="15">
                  <c:v>6.1408250920443159E-8</c:v>
                </c:pt>
                <c:pt idx="16">
                  <c:v>6.139277550308658E-8</c:v>
                </c:pt>
                <c:pt idx="17">
                  <c:v>6.1375869218955404E-8</c:v>
                </c:pt>
                <c:pt idx="18">
                  <c:v>6.1357400447604866E-8</c:v>
                </c:pt>
                <c:pt idx="19">
                  <c:v>6.1337225592870134E-8</c:v>
                </c:pt>
                <c:pt idx="20">
                  <c:v>6.1315188019180052E-8</c:v>
                </c:pt>
                <c:pt idx="21">
                  <c:v>6.1291116897568389E-8</c:v>
                </c:pt>
                <c:pt idx="22">
                  <c:v>6.126482595620668E-8</c:v>
                </c:pt>
                <c:pt idx="23">
                  <c:v>6.1236112128043789E-8</c:v>
                </c:pt>
                <c:pt idx="24">
                  <c:v>6.1204754088071566E-8</c:v>
                </c:pt>
                <c:pt idx="25">
                  <c:v>6.1170510673654999E-8</c:v>
                </c:pt>
                <c:pt idx="26">
                  <c:v>6.1133119180569177E-8</c:v>
                </c:pt>
                <c:pt idx="27">
                  <c:v>6.1092293526674558E-8</c:v>
                </c:pt>
                <c:pt idx="28">
                  <c:v>6.1047722276661345E-8</c:v>
                </c:pt>
                <c:pt idx="29">
                  <c:v>6.0999066520464044E-8</c:v>
                </c:pt>
                <c:pt idx="30">
                  <c:v>6.094595759879472E-8</c:v>
                </c:pt>
                <c:pt idx="31">
                  <c:v>6.088799466986125E-8</c:v>
                </c:pt>
                <c:pt idx="32">
                  <c:v>6.0824742112148453E-8</c:v>
                </c:pt>
                <c:pt idx="33">
                  <c:v>6.0755726759574801E-8</c:v>
                </c:pt>
                <c:pt idx="34">
                  <c:v>6.0680434966983583E-8</c:v>
                </c:pt>
                <c:pt idx="35">
                  <c:v>6.0598309506086232E-8</c:v>
                </c:pt>
                <c:pt idx="36">
                  <c:v>6.0508746294751115E-8</c:v>
                </c:pt>
                <c:pt idx="37">
                  <c:v>6.0411090966232936E-8</c:v>
                </c:pt>
                <c:pt idx="38">
                  <c:v>6.0304635289064481E-8</c:v>
                </c:pt>
                <c:pt idx="39">
                  <c:v>6.0188613453814005E-8</c:v>
                </c:pt>
                <c:pt idx="40">
                  <c:v>6.0062198249332793E-8</c:v>
                </c:pt>
                <c:pt idx="41">
                  <c:v>5.9924497159050676E-8</c:v>
                </c:pt>
                <c:pt idx="42">
                  <c:v>5.9774548417099239E-8</c:v>
                </c:pt>
                <c:pt idx="43">
                  <c:v>5.961131707523466E-8</c:v>
                </c:pt>
                <c:pt idx="44">
                  <c:v>5.9433691144555462E-8</c:v>
                </c:pt>
                <c:pt idx="45">
                  <c:v>5.9240477891302578E-8</c:v>
                </c:pt>
                <c:pt idx="46">
                  <c:v>5.90304003836522E-8</c:v>
                </c:pt>
                <c:pt idx="47">
                  <c:v>5.8802094406767776E-8</c:v>
                </c:pt>
                <c:pt idx="48">
                  <c:v>5.8554105886456256E-8</c:v>
                </c:pt>
                <c:pt idx="49">
                  <c:v>5.8284888987770826E-8</c:v>
                </c:pt>
                <c:pt idx="50">
                  <c:v>5.7992805083879829E-8</c:v>
                </c:pt>
                <c:pt idx="51">
                  <c:v>5.7676122822257669E-8</c:v>
                </c:pt>
                <c:pt idx="52">
                  <c:v>5.733301954956122E-8</c:v>
                </c:pt>
                <c:pt idx="53">
                  <c:v>5.6961584392846334E-8</c:v>
                </c:pt>
                <c:pt idx="54">
                  <c:v>5.6559823332172154E-8</c:v>
                </c:pt>
                <c:pt idx="55">
                  <c:v>5.612566663691877E-8</c:v>
                </c:pt>
                <c:pt idx="56">
                  <c:v>5.5656979073453251E-8</c:v>
                </c:pt>
                <c:pt idx="57">
                  <c:v>5.5151573322758188E-8</c:v>
                </c:pt>
                <c:pt idx="58">
                  <c:v>5.4607227070094044E-8</c:v>
                </c:pt>
                <c:pt idx="59">
                  <c:v>5.4021704240714062E-8</c:v>
                </c:pt>
                <c:pt idx="60">
                  <c:v>5.3392780851126125E-8</c:v>
                </c:pt>
                <c:pt idx="61">
                  <c:v>5.2718275918460113E-8</c:v>
                </c:pt>
                <c:pt idx="62">
                  <c:v>5.1996087814218576E-8</c:v>
                </c:pt>
                <c:pt idx="63">
                  <c:v>5.122423635527425E-8</c:v>
                </c:pt>
                <c:pt idx="64">
                  <c:v>5.040091078605621E-8</c:v>
                </c:pt>
                <c:pt idx="65">
                  <c:v>4.9524523612944035E-8</c:v>
                </c:pt>
                <c:pt idx="66">
                  <c:v>4.8593769997103939E-8</c:v>
                </c:pt>
                <c:pt idx="67">
                  <c:v>4.760769208918161E-8</c:v>
                </c:pt>
                <c:pt idx="68">
                  <c:v>4.6565747295364482E-8</c:v>
                </c:pt>
                <c:pt idx="69">
                  <c:v>4.5467879001224471E-8</c:v>
                </c:pt>
                <c:pt idx="70">
                  <c:v>4.4314587756424093E-8</c:v>
                </c:pt>
                <c:pt idx="71">
                  <c:v>4.3107000358254064E-8</c:v>
                </c:pt>
                <c:pt idx="72">
                  <c:v>4.1846933695339517E-8</c:v>
                </c:pt>
                <c:pt idx="73">
                  <c:v>4.0536949668742413E-8</c:v>
                </c:pt>
                <c:pt idx="74">
                  <c:v>3.918039705489988E-8</c:v>
                </c:pt>
                <c:pt idx="75">
                  <c:v>3.7781435886189933E-8</c:v>
                </c:pt>
                <c:pt idx="76">
                  <c:v>3.6345039883955505E-8</c:v>
                </c:pt>
                <c:pt idx="77">
                  <c:v>3.4876972773140135E-8</c:v>
                </c:pt>
                <c:pt idx="78">
                  <c:v>3.3383735018188889E-8</c:v>
                </c:pt>
                <c:pt idx="79">
                  <c:v>3.1872478705872428E-8</c:v>
                </c:pt>
                <c:pt idx="80">
                  <c:v>3.0350889981738912E-8</c:v>
                </c:pt>
                <c:pt idx="81">
                  <c:v>2.8827040583265031E-8</c:v>
                </c:pt>
                <c:pt idx="82">
                  <c:v>2.7309212488425738E-8</c:v>
                </c:pt>
                <c:pt idx="83">
                  <c:v>2.5805702311436075E-8</c:v>
                </c:pt>
                <c:pt idx="84">
                  <c:v>2.4324614544047386E-8</c:v>
                </c:pt>
                <c:pt idx="85">
                  <c:v>2.2873654718249038E-8</c:v>
                </c:pt>
                <c:pt idx="86">
                  <c:v>2.1459934697590458E-8</c:v>
                </c:pt>
                <c:pt idx="87">
                  <c:v>2.0089802282946538E-8</c:v>
                </c:pt>
                <c:pt idx="88">
                  <c:v>1.8768705963026512E-8</c:v>
                </c:pt>
                <c:pt idx="89">
                  <c:v>1.7501102962964092E-8</c:v>
                </c:pt>
                <c:pt idx="90">
                  <c:v>1.6290414993503236E-8</c:v>
                </c:pt>
                <c:pt idx="91">
                  <c:v>1.5139031752919908E-8</c:v>
                </c:pt>
                <c:pt idx="92">
                  <c:v>1.4048357916010606E-8</c:v>
                </c:pt>
                <c:pt idx="93">
                  <c:v>1.3018895725269554E-8</c:v>
                </c:pt>
                <c:pt idx="94">
                  <c:v>1.2050352927138101E-8</c:v>
                </c:pt>
                <c:pt idx="95">
                  <c:v>1.1141764966475403E-8</c:v>
                </c:pt>
                <c:pt idx="96">
                  <c:v>1.0291621035788479E-8</c:v>
                </c:pt>
                <c:pt idx="97">
                  <c:v>9.4979854385067998E-9</c:v>
                </c:pt>
                <c:pt idx="98">
                  <c:v>8.7586082389979015E-9</c:v>
                </c:pt>
                <c:pt idx="99">
                  <c:v>8.071021771651543E-9</c:v>
                </c:pt>
                <c:pt idx="100">
                  <c:v>7.4326218167684222E-9</c:v>
                </c:pt>
                <c:pt idx="101">
                  <c:v>6.8407338740992547E-9</c:v>
                </c:pt>
                <c:pt idx="102">
                  <c:v>6.2926659360741471E-9</c:v>
                </c:pt>
                <c:pt idx="103">
                  <c:v>5.7857495913745858E-9</c:v>
                </c:pt>
                <c:pt idx="104">
                  <c:v>5.317371348788502E-9</c:v>
                </c:pt>
                <c:pt idx="105">
                  <c:v>4.8849959271163759E-9</c:v>
                </c:pt>
                <c:pt idx="106">
                  <c:v>4.4861830302171742E-9</c:v>
                </c:pt>
                <c:pt idx="107">
                  <c:v>4.1185988875549898E-9</c:v>
                </c:pt>
                <c:pt idx="108">
                  <c:v>3.7800236220692084E-9</c:v>
                </c:pt>
                <c:pt idx="109">
                  <c:v>3.4683553188834894E-9</c:v>
                </c:pt>
                <c:pt idx="110">
                  <c:v>3.1816115102181483E-9</c:v>
                </c:pt>
                <c:pt idx="111">
                  <c:v>2.9179286603770528E-9</c:v>
                </c:pt>
                <c:pt idx="112">
                  <c:v>2.6755601257798331E-9</c:v>
                </c:pt>
                <c:pt idx="113">
                  <c:v>2.4528729749991064E-9</c:v>
                </c:pt>
                <c:pt idx="114">
                  <c:v>2.2483439794798507E-9</c:v>
                </c:pt>
                <c:pt idx="115">
                  <c:v>2.0605550244141942E-9</c:v>
                </c:pt>
                <c:pt idx="116">
                  <c:v>1.8881881389071309E-9</c:v>
                </c:pt>
                <c:pt idx="117">
                  <c:v>1.7300203032514653E-9</c:v>
                </c:pt>
                <c:pt idx="118">
                  <c:v>1.5849181572951391E-9</c:v>
                </c:pt>
                <c:pt idx="119">
                  <c:v>1.4518327062487744E-9</c:v>
                </c:pt>
                <c:pt idx="120">
                  <c:v>1.3297940977777492E-9</c:v>
                </c:pt>
                <c:pt idx="121">
                  <c:v>1.2179065259623092E-9</c:v>
                </c:pt>
                <c:pt idx="122">
                  <c:v>1.1153433029511757E-9</c:v>
                </c:pt>
                <c:pt idx="123">
                  <c:v>1.0213421272636616E-9</c:v>
                </c:pt>
                <c:pt idx="124">
                  <c:v>9.3520056820111594E-10</c:v>
                </c:pt>
                <c:pt idx="125">
                  <c:v>8.5627177828613094E-10</c:v>
                </c:pt>
                <c:pt idx="126">
                  <c:v>7.8396043970503251E-10</c:v>
                </c:pt>
                <c:pt idx="127">
                  <c:v>7.1771894609386905E-10</c:v>
                </c:pt>
                <c:pt idx="128">
                  <c:v>6.5704381743859015E-10</c:v>
                </c:pt>
                <c:pt idx="129">
                  <c:v>6.0147234315647321E-10</c:v>
                </c:pt>
                <c:pt idx="130">
                  <c:v>5.505794464229199E-10</c:v>
                </c:pt>
                <c:pt idx="131">
                  <c:v>5.0397476136933896E-10</c:v>
                </c:pt>
                <c:pt idx="132">
                  <c:v>4.6129991379175825E-10</c:v>
                </c:pt>
                <c:pt idx="133">
                  <c:v>4.2222599538391892E-10</c:v>
                </c:pt>
                <c:pt idx="134">
                  <c:v>3.8645122116729614E-10</c:v>
                </c:pt>
                <c:pt idx="135">
                  <c:v>3.5369875967189482E-10</c:v>
                </c:pt>
                <c:pt idx="136">
                  <c:v>3.2371472547535342E-10</c:v>
                </c:pt>
                <c:pt idx="137">
                  <c:v>2.9626632389278522E-10</c:v>
                </c:pt>
                <c:pt idx="138">
                  <c:v>2.711401378926584E-10</c:v>
                </c:pt>
                <c:pt idx="139">
                  <c:v>2.481405476680194E-10</c:v>
                </c:pt>
                <c:pt idx="140">
                  <c:v>2.2708827369596944E-10</c:v>
                </c:pt>
                <c:pt idx="141">
                  <c:v>2.0781903455431649E-10</c:v>
                </c:pt>
                <c:pt idx="142">
                  <c:v>1.9018231121913907E-10</c:v>
                </c:pt>
                <c:pt idx="143">
                  <c:v>1.7404021002991489E-10</c:v>
                </c:pt>
              </c:numCache>
            </c:numRef>
          </c:yVal>
          <c:smooth val="0"/>
          <c:extLst>
            <c:ext xmlns:c16="http://schemas.microsoft.com/office/drawing/2014/chart" uri="{C3380CC4-5D6E-409C-BE32-E72D297353CC}">
              <c16:uniqueId val="{00000001-F694-4254-A29D-B41EA3FB2026}"/>
            </c:ext>
          </c:extLst>
        </c:ser>
        <c:dLbls>
          <c:showLegendKey val="0"/>
          <c:showVal val="0"/>
          <c:showCatName val="0"/>
          <c:showSerName val="0"/>
          <c:showPercent val="0"/>
          <c:showBubbleSize val="0"/>
        </c:dLbls>
        <c:axId val="217894728"/>
        <c:axId val="217896688"/>
      </c:scatterChart>
      <c:valAx>
        <c:axId val="217894728"/>
        <c:scaling>
          <c:logBase val="10"/>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Hz</a:t>
                </a:r>
              </a:p>
            </c:rich>
          </c:tx>
          <c:layout>
            <c:manualLayout>
              <c:xMode val="edge"/>
              <c:yMode val="edge"/>
              <c:x val="0.4705883355068643"/>
              <c:y val="0.91152819242262539"/>
            </c:manualLayout>
          </c:layout>
          <c:overlay val="0"/>
          <c:spPr>
            <a:noFill/>
            <a:ln w="25400">
              <a:noFill/>
            </a:ln>
          </c:spPr>
        </c:title>
        <c:numFmt formatCode="0.00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896688"/>
        <c:crossesAt val="1E-14"/>
        <c:crossBetween val="midCat"/>
      </c:valAx>
      <c:valAx>
        <c:axId val="217896688"/>
        <c:scaling>
          <c:logBase val="10"/>
          <c:orientation val="minMax"/>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Area (meters2)</a:t>
                </a:r>
              </a:p>
            </c:rich>
          </c:tx>
          <c:layout>
            <c:manualLayout>
              <c:xMode val="edge"/>
              <c:yMode val="edge"/>
              <c:x val="2.4340849406246992E-2"/>
              <c:y val="0.33512054299626476"/>
            </c:manualLayout>
          </c:layout>
          <c:overlay val="0"/>
          <c:spPr>
            <a:noFill/>
            <a:ln w="25400">
              <a:noFill/>
            </a:ln>
          </c:spPr>
        </c:title>
        <c:numFmt formatCode="0.00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894728"/>
        <c:crossesAt val="1E-10"/>
        <c:crossBetween val="midCat"/>
      </c:valAx>
      <c:spPr>
        <a:noFill/>
        <a:ln w="12700">
          <a:solidFill>
            <a:srgbClr val="808080"/>
          </a:solidFill>
          <a:prstDash val="solid"/>
        </a:ln>
      </c:spPr>
    </c:plotArea>
    <c:legend>
      <c:legendPos val="r"/>
      <c:layout>
        <c:manualLayout>
          <c:xMode val="edge"/>
          <c:yMode val="edge"/>
          <c:x val="0.59432052525909873"/>
          <c:y val="0.26273446740166195"/>
          <c:w val="0.16024346386160493"/>
          <c:h val="0.109919450221070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Equivalent cross-sectional area of conductors
Y-axis on log scale</a:t>
            </a:r>
          </a:p>
        </c:rich>
      </c:tx>
      <c:layout>
        <c:manualLayout>
          <c:xMode val="edge"/>
          <c:yMode val="edge"/>
          <c:x val="0.24137927362895056"/>
          <c:y val="1.8766687313233776E-2"/>
        </c:manualLayout>
      </c:layout>
      <c:overlay val="0"/>
      <c:spPr>
        <a:noFill/>
        <a:ln w="25400">
          <a:noFill/>
        </a:ln>
      </c:spPr>
    </c:title>
    <c:autoTitleDeleted val="0"/>
    <c:plotArea>
      <c:layout>
        <c:manualLayout>
          <c:layoutTarget val="inner"/>
          <c:xMode val="edge"/>
          <c:yMode val="edge"/>
          <c:x val="0.20081135902636918"/>
          <c:y val="0.1581769436997319"/>
          <c:w val="0.71399594320486814"/>
          <c:h val="0.67292225201072386"/>
        </c:manualLayout>
      </c:layout>
      <c:scatterChart>
        <c:scatterStyle val="lineMarker"/>
        <c:varyColors val="0"/>
        <c:ser>
          <c:idx val="0"/>
          <c:order val="0"/>
          <c:tx>
            <c:v>Outside</c:v>
          </c:tx>
          <c:spPr>
            <a:ln w="38100">
              <a:solidFill>
                <a:srgbClr val="000080"/>
              </a:solidFill>
              <a:prstDash val="solid"/>
            </a:ln>
          </c:spPr>
          <c:marker>
            <c:symbol val="none"/>
          </c:marker>
          <c:xVal>
            <c:numRef>
              <c:f>Calcs!$E$14:$E$157</c:f>
              <c:numCache>
                <c:formatCode>General</c:formatCode>
                <c:ptCount val="144"/>
                <c:pt idx="0">
                  <c:v>1.0000000000000001E-9</c:v>
                </c:pt>
                <c:pt idx="1">
                  <c:v>1.1944154251433329E-9</c:v>
                </c:pt>
                <c:pt idx="2">
                  <c:v>1.426628207820329E-9</c:v>
                </c:pt>
                <c:pt idx="3">
                  <c:v>1.7039867373651894E-9</c:v>
                </c:pt>
                <c:pt idx="4">
                  <c:v>2.0352680433486435E-9</c:v>
                </c:pt>
                <c:pt idx="5">
                  <c:v>2.4309555452769098E-9</c:v>
                </c:pt>
                <c:pt idx="6">
                  <c:v>2.903570801116463E-9</c:v>
                </c:pt>
                <c:pt idx="7">
                  <c:v>3.4680697528492881E-9</c:v>
                </c:pt>
                <c:pt idx="8">
                  <c:v>4.1423160082762164E-9</c:v>
                </c:pt>
                <c:pt idx="9">
                  <c:v>4.947646136103271E-9</c:v>
                </c:pt>
                <c:pt idx="10">
                  <c:v>5.9095448631125566E-9</c:v>
                </c:pt>
                <c:pt idx="11">
                  <c:v>7.0584515400781839E-9</c:v>
                </c:pt>
                <c:pt idx="12">
                  <c:v>8.4307233970960971E-9</c:v>
                </c:pt>
                <c:pt idx="13">
                  <c:v>1.0069786070608378E-8</c:v>
                </c:pt>
                <c:pt idx="14">
                  <c:v>1.202750781062812E-8</c:v>
                </c:pt>
                <c:pt idx="15">
                  <c:v>1.4365840855046143E-8</c:v>
                </c:pt>
                <c:pt idx="16">
                  <c:v>1.7158781912421401E-8</c:v>
                </c:pt>
                <c:pt idx="17">
                  <c:v>2.0494713792866537E-8</c:v>
                </c:pt>
                <c:pt idx="18">
                  <c:v>2.4479202288097619E-8</c:v>
                </c:pt>
                <c:pt idx="19">
                  <c:v>2.9238336808107765E-8</c:v>
                </c:pt>
                <c:pt idx="20">
                  <c:v>3.4922720489139998E-8</c:v>
                </c:pt>
                <c:pt idx="21">
                  <c:v>4.1712236040197939E-8</c:v>
                </c:pt>
                <c:pt idx="22">
                  <c:v>4.9821738143632075E-8</c:v>
                </c:pt>
                <c:pt idx="23">
                  <c:v>5.9507852546206117E-8</c:v>
                </c:pt>
                <c:pt idx="24">
                  <c:v>7.1077096998343551E-8</c:v>
                </c:pt>
                <c:pt idx="25">
                  <c:v>8.4895581029230429E-8</c:v>
                </c:pt>
                <c:pt idx="26">
                  <c:v>1.0140059150781853E-7</c:v>
                </c:pt>
                <c:pt idx="27">
                  <c:v>1.2111443061559653E-7</c:v>
                </c:pt>
                <c:pt idx="28">
                  <c:v>1.4466094413472041E-7</c:v>
                </c:pt>
                <c:pt idx="29">
                  <c:v>1.72785263090308E-7</c:v>
                </c:pt>
                <c:pt idx="30">
                  <c:v>2.0637738347251289E-7</c:v>
                </c:pt>
                <c:pt idx="31">
                  <c:v>2.4650033022029016E-7</c:v>
                </c:pt>
                <c:pt idx="32">
                  <c:v>2.9442379671803985E-7</c:v>
                </c:pt>
                <c:pt idx="33">
                  <c:v>3.5166432432929187E-7</c:v>
                </c:pt>
                <c:pt idx="34">
                  <c:v>4.2003329345151405E-7</c:v>
                </c:pt>
                <c:pt idx="35">
                  <c:v>5.0169424477224457E-7</c:v>
                </c:pt>
                <c:pt idx="36">
                  <c:v>5.9923134466160378E-7</c:v>
                </c:pt>
                <c:pt idx="37">
                  <c:v>7.1573116129320061E-7</c:v>
                </c:pt>
                <c:pt idx="38">
                  <c:v>8.5488033930434963E-7</c:v>
                </c:pt>
                <c:pt idx="39">
                  <c:v>1.0210822639168816E-6</c:v>
                </c:pt>
                <c:pt idx="40">
                  <c:v>1.219596406362599E-6</c:v>
                </c:pt>
                <c:pt idx="41">
                  <c:v>1.4567047602088648E-6</c:v>
                </c:pt>
                <c:pt idx="42">
                  <c:v>1.7399106354731882E-6</c:v>
                </c:pt>
                <c:pt idx="43">
                  <c:v>2.0781761013801148E-6</c:v>
                </c:pt>
                <c:pt idx="44">
                  <c:v>2.4822055916526437E-6</c:v>
                </c:pt>
                <c:pt idx="45">
                  <c:v>2.9647846470469509E-6</c:v>
                </c:pt>
                <c:pt idx="46">
                  <c:v>3.5411845146610101E-6</c:v>
                </c:pt>
                <c:pt idx="47">
                  <c:v>4.229645407589818E-6</c:v>
                </c:pt>
                <c:pt idx="48">
                  <c:v>5.0519537177119386E-6</c:v>
                </c:pt>
                <c:pt idx="49">
                  <c:v>6.0341314475453467E-6</c:v>
                </c:pt>
                <c:pt idx="50">
                  <c:v>7.2072596782906306E-6</c:v>
                </c:pt>
                <c:pt idx="51">
                  <c:v>8.6084621327639052E-6</c:v>
                </c:pt>
                <c:pt idx="52">
                  <c:v>1.0282079958135483E-5</c:v>
                </c:pt>
                <c:pt idx="53">
                  <c:v>1.2281074904554135E-5</c:v>
                </c:pt>
                <c:pt idx="54">
                  <c:v>1.4668705303340147E-5</c:v>
                </c:pt>
                <c:pt idx="55">
                  <c:v>1.7520527881191282E-5</c:v>
                </c:pt>
                <c:pt idx="56">
                  <c:v>2.0926788757948708E-5</c:v>
                </c:pt>
                <c:pt idx="57">
                  <c:v>2.4995279291210026E-5</c:v>
                </c:pt>
                <c:pt idx="58">
                  <c:v>2.9854747141186971E-5</c:v>
                </c:pt>
                <c:pt idx="59">
                  <c:v>3.5658970499187541E-5</c:v>
                </c:pt>
                <c:pt idx="60">
                  <c:v>4.2591624408960652E-5</c:v>
                </c:pt>
                <c:pt idx="61">
                  <c:v>5.0872093175973905E-5</c:v>
                </c:pt>
                <c:pt idx="62">
                  <c:v>6.0762412798712115E-5</c:v>
                </c:pt>
                <c:pt idx="63">
                  <c:v>7.257556311570843E-5</c:v>
                </c:pt>
                <c:pt idx="64">
                  <c:v>8.6685372073865683E-5</c:v>
                </c:pt>
                <c:pt idx="65">
                  <c:v>1.0353834553931428E-4</c:v>
                </c:pt>
                <c:pt idx="66">
                  <c:v>1.2366779700597738E-4</c:v>
                </c:pt>
                <c:pt idx="67">
                  <c:v>1.4771072433743387E-4</c:v>
                </c:pt>
                <c:pt idx="68">
                  <c:v>1.7642796760772574E-4</c:v>
                </c:pt>
                <c:pt idx="69">
                  <c:v>2.1072828593735591E-4</c:v>
                </c:pt>
                <c:pt idx="70">
                  <c:v>2.516971152375928E-4</c:v>
                </c:pt>
                <c:pt idx="71">
                  <c:v>3.0063091690385989E-4</c:v>
                </c:pt>
                <c:pt idx="72">
                  <c:v>3.5907820442495378E-4</c:v>
                </c:pt>
                <c:pt idx="73">
                  <c:v>4.2888854619793583E-4</c:v>
                </c:pt>
                <c:pt idx="74">
                  <c:v>5.1227109524611353E-4</c:v>
                </c:pt>
                <c:pt idx="75">
                  <c:v>6.1186449801702751E-4</c:v>
                </c:pt>
                <c:pt idx="76">
                  <c:v>7.3082039452911996E-4</c:v>
                </c:pt>
                <c:pt idx="77">
                  <c:v>8.7290315223491712E-4</c:v>
                </c:pt>
                <c:pt idx="78">
                  <c:v>1.0426089896856242E-3</c:v>
                </c:pt>
                <c:pt idx="79">
                  <c:v>1.2453082596736156E-3</c:v>
                </c:pt>
                <c:pt idx="80">
                  <c:v>1.4874153944125657E-3</c:v>
                </c:pt>
                <c:pt idx="81">
                  <c:v>1.776591890682023E-3</c:v>
                </c:pt>
                <c:pt idx="82">
                  <c:v>2.1219887584151662E-3</c:v>
                </c:pt>
                <c:pt idx="83">
                  <c:v>2.5345361050318244E-3</c:v>
                </c:pt>
                <c:pt idx="84">
                  <c:v>3.0272890194327135E-3</c:v>
                </c:pt>
                <c:pt idx="85">
                  <c:v>3.6158407011774685E-3</c:v>
                </c:pt>
                <c:pt idx="86">
                  <c:v>4.318815908347453E-3</c:v>
                </c:pt>
                <c:pt idx="87">
                  <c:v>5.1584603392846127E-3</c:v>
                </c:pt>
                <c:pt idx="88">
                  <c:v>6.161344599231653E-3</c:v>
                </c:pt>
                <c:pt idx="89">
                  <c:v>7.3592050289458533E-3</c:v>
                </c:pt>
                <c:pt idx="90">
                  <c:v>8.7899480033653155E-3</c:v>
                </c:pt>
                <c:pt idx="91">
                  <c:v>1.0498849481427373E-2</c:v>
                </c:pt>
                <c:pt idx="92">
                  <c:v>1.2539987766874938E-2</c:v>
                </c:pt>
                <c:pt idx="93">
                  <c:v>1.4977954819864123E-2</c:v>
                </c:pt>
                <c:pt idx="94">
                  <c:v>1.7889900273945641E-2</c:v>
                </c:pt>
                <c:pt idx="95">
                  <c:v>2.1367972841476613E-2</c:v>
                </c:pt>
                <c:pt idx="96">
                  <c:v>2.5522236365903481E-2</c:v>
                </c:pt>
                <c:pt idx="97">
                  <c:v>3.0484152799589243E-2</c:v>
                </c:pt>
                <c:pt idx="98">
                  <c:v>3.6410742326255706E-2</c:v>
                </c:pt>
                <c:pt idx="99">
                  <c:v>4.3489552275399058E-2</c:v>
                </c:pt>
                <c:pt idx="100">
                  <c:v>5.1944592070313975E-2</c:v>
                </c:pt>
                <c:pt idx="101">
                  <c:v>6.2043422021561073E-2</c:v>
                </c:pt>
                <c:pt idx="102">
                  <c:v>7.4105620291230093E-2</c:v>
                </c:pt>
                <c:pt idx="103">
                  <c:v>8.8512895965660005E-2</c:v>
                </c:pt>
                <c:pt idx="104">
                  <c:v>0.1057211682654914</c:v>
                </c:pt>
                <c:pt idx="105">
                  <c:v>0.12627499414047674</c:v>
                </c:pt>
                <c:pt idx="106">
                  <c:v>0.15082480081126939</c:v>
                </c:pt>
                <c:pt idx="107">
                  <c:v>0.18014746858315087</c:v>
                </c:pt>
                <c:pt idx="108">
                  <c:v>0.21517091527623936</c:v>
                </c:pt>
                <c:pt idx="109">
                  <c:v>0.25700346024814952</c:v>
                </c:pt>
                <c:pt idx="110">
                  <c:v>0.30696889723560117</c:v>
                </c:pt>
                <c:pt idx="111">
                  <c:v>0.3666483858974407</c:v>
                </c:pt>
                <c:pt idx="112">
                  <c:v>0.43793048771980841</c:v>
                </c:pt>
                <c:pt idx="113">
                  <c:v>0.52307092967308211</c:v>
                </c:pt>
                <c:pt idx="114">
                  <c:v>0.62476398684559287</c:v>
                </c:pt>
                <c:pt idx="115">
                  <c:v>0.74622774296242245</c:v>
                </c:pt>
                <c:pt idx="116">
                  <c:v>0.89130592686421173</c:v>
                </c:pt>
                <c:pt idx="117">
                  <c:v>1.0645895475682898</c:v>
                </c:pt>
                <c:pt idx="118">
                  <c:v>1.2715621770619276</c:v>
                </c:pt>
                <c:pt idx="119">
                  <c:v>1.5187734783116043</c:v>
                </c:pt>
                <c:pt idx="120">
                  <c:v>1.8140464697939735</c:v>
                </c:pt>
                <c:pt idx="121">
                  <c:v>2.1667250854487308</c:v>
                </c:pt>
                <c:pt idx="122">
                  <c:v>2.5879698641049704</c:v>
                </c:pt>
                <c:pt idx="123">
                  <c:v>3.0911111254930721</c:v>
                </c:pt>
                <c:pt idx="124">
                  <c:v>3.6920708091210943</c:v>
                </c:pt>
                <c:pt idx="125">
                  <c:v>4.4098663251356616</c:v>
                </c:pt>
                <c:pt idx="126">
                  <c:v>5.2672123615621782</c:v>
                </c:pt>
                <c:pt idx="127">
                  <c:v>6.291239692155508</c:v>
                </c:pt>
                <c:pt idx="128">
                  <c:v>7.5143537315845323</c:v>
                </c:pt>
                <c:pt idx="129">
                  <c:v>8.9752600069879307</c:v>
                </c:pt>
                <c:pt idx="130">
                  <c:v>10.720188997018441</c:v>
                </c:pt>
                <c:pt idx="131">
                  <c:v>12.804359098490664</c:v>
                </c:pt>
                <c:pt idx="132">
                  <c:v>15.29372401631163</c:v>
                </c:pt>
                <c:pt idx="133">
                  <c:v>18.267059872967661</c:v>
                </c:pt>
                <c:pt idx="134">
                  <c:v>21.818458084289382</c:v>
                </c:pt>
                <c:pt idx="135">
                  <c:v>26.060302888718493</c:v>
                </c:pt>
                <c:pt idx="136">
                  <c:v>31.126827754192728</c:v>
                </c:pt>
                <c:pt idx="137">
                  <c:v>37.178363205387406</c:v>
                </c:pt>
                <c:pt idx="138">
                  <c:v>44.406410494096043</c:v>
                </c:pt>
                <c:pt idx="139">
                  <c:v>53.039701669395093</c:v>
                </c:pt>
                <c:pt idx="140">
                  <c:v>63.351437818926094</c:v>
                </c:pt>
                <c:pt idx="141">
                  <c:v>75.667934535934037</c:v>
                </c:pt>
                <c:pt idx="142">
                  <c:v>90.378948198455532</c:v>
                </c:pt>
                <c:pt idx="143">
                  <c:v>107.95000983646553</c:v>
                </c:pt>
              </c:numCache>
            </c:numRef>
          </c:xVal>
          <c:yVal>
            <c:numRef>
              <c:f>Calcs!$I$14:$I$157</c:f>
              <c:numCache>
                <c:formatCode>0.00E+00</c:formatCode>
                <c:ptCount val="144"/>
                <c:pt idx="0">
                  <c:v>4.1780755137904472E-7</c:v>
                </c:pt>
                <c:pt idx="1">
                  <c:v>4.1776884525971158E-7</c:v>
                </c:pt>
                <c:pt idx="2">
                  <c:v>4.1772654896957002E-7</c:v>
                </c:pt>
                <c:pt idx="3">
                  <c:v>4.1768033004681053E-7</c:v>
                </c:pt>
                <c:pt idx="4">
                  <c:v>4.1762982535353611E-7</c:v>
                </c:pt>
                <c:pt idx="5">
                  <c:v>4.1757463824932684E-7</c:v>
                </c:pt>
                <c:pt idx="6">
                  <c:v>4.1751433554653079E-7</c:v>
                </c:pt>
                <c:pt idx="7">
                  <c:v>4.1744844415971663E-7</c:v>
                </c:pt>
                <c:pt idx="8">
                  <c:v>4.1737644746595449E-7</c:v>
                </c:pt>
                <c:pt idx="9">
                  <c:v>4.1729778134192778E-7</c:v>
                </c:pt>
                <c:pt idx="10">
                  <c:v>4.1721182984686686E-7</c:v>
                </c:pt>
                <c:pt idx="11">
                  <c:v>4.1711792052461683E-7</c:v>
                </c:pt>
                <c:pt idx="12">
                  <c:v>4.1701531928352964E-7</c:v>
                </c:pt>
                <c:pt idx="13">
                  <c:v>4.1690322483562085E-7</c:v>
                </c:pt>
                <c:pt idx="14">
                  <c:v>4.167807626488813E-7</c:v>
                </c:pt>
                <c:pt idx="15">
                  <c:v>4.1664697836936027E-7</c:v>
                </c:pt>
                <c:pt idx="16">
                  <c:v>4.1650083068305292E-7</c:v>
                </c:pt>
                <c:pt idx="17">
                  <c:v>4.1634118356265253E-7</c:v>
                </c:pt>
                <c:pt idx="18">
                  <c:v>4.1616679786093395E-7</c:v>
                </c:pt>
                <c:pt idx="19">
                  <c:v>4.159763221944102E-7</c:v>
                </c:pt>
                <c:pt idx="20">
                  <c:v>4.1576828307226709E-7</c:v>
                </c:pt>
                <c:pt idx="21">
                  <c:v>4.1554107421308565E-7</c:v>
                </c:pt>
                <c:pt idx="22">
                  <c:v>4.1529294499543724E-7</c:v>
                </c:pt>
                <c:pt idx="23">
                  <c:v>4.1502198798735685E-7</c:v>
                </c:pt>
                <c:pt idx="24">
                  <c:v>4.1472612549480497E-7</c:v>
                </c:pt>
                <c:pt idx="25">
                  <c:v>4.1440309507394752E-7</c:v>
                </c:pt>
                <c:pt idx="26">
                  <c:v>4.1405043395115941E-7</c:v>
                </c:pt>
                <c:pt idx="27">
                  <c:v>4.1366546229479936E-7</c:v>
                </c:pt>
                <c:pt idx="28">
                  <c:v>4.1324526529058614E-7</c:v>
                </c:pt>
                <c:pt idx="29">
                  <c:v>4.1278667397500208E-7</c:v>
                </c:pt>
                <c:pt idx="30">
                  <c:v>4.1228624478979277E-7</c:v>
                </c:pt>
                <c:pt idx="31">
                  <c:v>4.1174023783233604E-7</c:v>
                </c:pt>
                <c:pt idx="32">
                  <c:v>4.1114459378972333E-7</c:v>
                </c:pt>
                <c:pt idx="33">
                  <c:v>4.1049490956362238E-7</c:v>
                </c:pt>
                <c:pt idx="34">
                  <c:v>4.0978641261610882E-7</c:v>
                </c:pt>
                <c:pt idx="35">
                  <c:v>4.0901393409575116E-7</c:v>
                </c:pt>
                <c:pt idx="36">
                  <c:v>4.0817188083981413E-7</c:v>
                </c:pt>
                <c:pt idx="37">
                  <c:v>4.0725420639282985E-7</c:v>
                </c:pt>
                <c:pt idx="38">
                  <c:v>4.0625438123567473E-7</c:v>
                </c:pt>
                <c:pt idx="39">
                  <c:v>4.0516536248471649E-7</c:v>
                </c:pt>
                <c:pt idx="40">
                  <c:v>4.0397956339848532E-7</c:v>
                </c:pt>
                <c:pt idx="41">
                  <c:v>4.0268882312188193E-7</c:v>
                </c:pt>
                <c:pt idx="42">
                  <c:v>4.0128437720729051E-7</c:v>
                </c:pt>
                <c:pt idx="43">
                  <c:v>3.9975682957985452E-7</c:v>
                </c:pt>
                <c:pt idx="44">
                  <c:v>3.9809612676235784E-7</c:v>
                </c:pt>
                <c:pt idx="45">
                  <c:v>3.962915353465374E-7</c:v>
                </c:pt>
                <c:pt idx="46">
                  <c:v>3.9433162389278164E-7</c:v>
                </c:pt>
                <c:pt idx="47">
                  <c:v>3.9220425066097029E-7</c:v>
                </c:pt>
                <c:pt idx="48">
                  <c:v>3.8989655882216414E-7</c:v>
                </c:pt>
                <c:pt idx="49">
                  <c:v>3.8739498107340053E-7</c:v>
                </c:pt>
                <c:pt idx="50">
                  <c:v>3.8468525587412289E-7</c:v>
                </c:pt>
                <c:pt idx="51">
                  <c:v>3.8175245783895628E-7</c:v>
                </c:pt>
                <c:pt idx="52">
                  <c:v>3.7858104515099254E-7</c:v>
                </c:pt>
                <c:pt idx="53">
                  <c:v>3.7515492719261513E-7</c:v>
                </c:pt>
                <c:pt idx="54">
                  <c:v>3.714575559127025E-7</c:v>
                </c:pt>
                <c:pt idx="55">
                  <c:v>3.6747204474009181E-7</c:v>
                </c:pt>
                <c:pt idx="56">
                  <c:v>3.6318131908715018E-7</c:v>
                </c:pt>
                <c:pt idx="57">
                  <c:v>3.5856830263001098E-7</c:v>
                </c:pt>
                <c:pt idx="58">
                  <c:v>3.5361614356058212E-7</c:v>
                </c:pt>
                <c:pt idx="59">
                  <c:v>3.4830848482706561E-7</c:v>
                </c:pt>
                <c:pt idx="60">
                  <c:v>3.4262978195146686E-7</c:v>
                </c:pt>
                <c:pt idx="61">
                  <c:v>3.3656567126155088E-7</c:v>
                </c:pt>
                <c:pt idx="62">
                  <c:v>3.3010339021951556E-7</c:v>
                </c:pt>
                <c:pt idx="63">
                  <c:v>3.2323224988371527E-7</c:v>
                </c:pt>
                <c:pt idx="64">
                  <c:v>3.1594415731650773E-7</c:v>
                </c:pt>
                <c:pt idx="65">
                  <c:v>3.0823418287284848E-7</c:v>
                </c:pt>
                <c:pt idx="66">
                  <c:v>3.0010116371345054E-7</c:v>
                </c:pt>
                <c:pt idx="67">
                  <c:v>2.9154833056308502E-7</c:v>
                </c:pt>
                <c:pt idx="68">
                  <c:v>2.8258393971686074E-7</c:v>
                </c:pt>
                <c:pt idx="69">
                  <c:v>2.732218867059852E-7</c:v>
                </c:pt>
                <c:pt idx="70">
                  <c:v>2.6348227210142771E-7</c:v>
                </c:pt>
                <c:pt idx="71">
                  <c:v>2.5339188402989394E-7</c:v>
                </c:pt>
                <c:pt idx="72">
                  <c:v>2.4298455663514758E-7</c:v>
                </c:pt>
                <c:pt idx="73">
                  <c:v>2.3230135964793983E-7</c:v>
                </c:pt>
                <c:pt idx="74">
                  <c:v>2.2139057230637529E-7</c:v>
                </c:pt>
                <c:pt idx="75">
                  <c:v>2.1030739610122773E-7</c:v>
                </c:pt>
                <c:pt idx="76">
                  <c:v>1.9911336626046686E-7</c:v>
                </c:pt>
                <c:pt idx="77">
                  <c:v>1.8787543249959095E-7</c:v>
                </c:pt>
                <c:pt idx="78">
                  <c:v>1.7666469603553219E-7</c:v>
                </c:pt>
                <c:pt idx="79">
                  <c:v>1.6555481235677325E-7</c:v>
                </c:pt>
                <c:pt idx="80">
                  <c:v>1.5462009713569637E-7</c:v>
                </c:pt>
                <c:pt idx="81">
                  <c:v>1.4393340429679302E-7</c:v>
                </c:pt>
                <c:pt idx="82">
                  <c:v>1.3356387775387779E-7</c:v>
                </c:pt>
                <c:pt idx="83">
                  <c:v>1.2357470766114279E-7</c:v>
                </c:pt>
                <c:pt idx="84">
                  <c:v>1.1402104326265856E-7</c:v>
                </c:pt>
                <c:pt idx="85">
                  <c:v>1.0494822239696492E-7</c:v>
                </c:pt>
                <c:pt idx="86">
                  <c:v>9.6390467963873471E-8</c:v>
                </c:pt>
                <c:pt idx="87">
                  <c:v>8.8370171665839512E-8</c:v>
                </c:pt>
                <c:pt idx="88">
                  <c:v>8.0897835703140457E-8</c:v>
                </c:pt>
                <c:pt idx="89">
                  <c:v>7.397267839559441E-8</c:v>
                </c:pt>
                <c:pt idx="90">
                  <c:v>6.7583838486660926E-8</c:v>
                </c:pt>
                <c:pt idx="91">
                  <c:v>6.1712046650217508E-8</c:v>
                </c:pt>
                <c:pt idx="92">
                  <c:v>5.6331583661023566E-8</c:v>
                </c:pt>
                <c:pt idx="93">
                  <c:v>5.1412322701982348E-8</c:v>
                </c:pt>
                <c:pt idx="94">
                  <c:v>4.692166300311551E-8</c:v>
                </c:pt>
                <c:pt idx="95">
                  <c:v>4.2826200980749684E-8</c:v>
                </c:pt>
                <c:pt idx="96">
                  <c:v>3.9093043903660582E-8</c:v>
                </c:pt>
                <c:pt idx="97">
                  <c:v>3.5690736055499677E-8</c:v>
                </c:pt>
                <c:pt idx="98">
                  <c:v>3.2589824239137881E-8</c:v>
                </c:pt>
                <c:pt idx="99">
                  <c:v>2.9763127978829594E-8</c:v>
                </c:pt>
                <c:pt idx="100">
                  <c:v>2.7185796119259298E-8</c:v>
                </c:pt>
                <c:pt idx="101">
                  <c:v>2.4835228474004736E-8</c:v>
                </c:pt>
                <c:pt idx="102">
                  <c:v>2.2690925808119447E-8</c:v>
                </c:pt>
                <c:pt idx="103">
                  <c:v>2.0734311750335774E-8</c:v>
                </c:pt>
                <c:pt idx="104">
                  <c:v>1.8948552342055306E-8</c:v>
                </c:pt>
                <c:pt idx="105">
                  <c:v>1.7318385865515263E-8</c:v>
                </c:pt>
                <c:pt idx="106">
                  <c:v>1.5829967650962845E-8</c:v>
                </c:pt>
                <c:pt idx="107">
                  <c:v>1.4470730532004382E-8</c:v>
                </c:pt>
                <c:pt idx="108">
                  <c:v>1.3229259961049558E-8</c:v>
                </c:pt>
                <c:pt idx="109">
                  <c:v>1.2095182314972034E-8</c:v>
                </c:pt>
                <c:pt idx="110">
                  <c:v>1.1059064911963312E-8</c:v>
                </c:pt>
                <c:pt idx="111">
                  <c:v>1.0112326396810029E-8</c:v>
                </c:pt>
                <c:pt idx="112">
                  <c:v>9.2471563114032987E-9</c:v>
                </c:pt>
                <c:pt idx="113">
                  <c:v>8.4564428148764466E-9</c:v>
                </c:pt>
                <c:pt idx="114">
                  <c:v>7.7337076469485128E-9</c:v>
                </c:pt>
                <c:pt idx="115">
                  <c:v>7.073047539841376E-9</c:v>
                </c:pt>
                <c:pt idx="116">
                  <c:v>6.4690813808083322E-9</c:v>
                </c:pt>
                <c:pt idx="117">
                  <c:v>5.9169025110277582E-9</c:v>
                </c:pt>
                <c:pt idx="118">
                  <c:v>5.4120356192458563E-9</c:v>
                </c:pt>
                <c:pt idx="119">
                  <c:v>4.9503977516855508E-9</c:v>
                </c:pt>
                <c:pt idx="120">
                  <c:v>4.5282630147225712E-9</c:v>
                </c:pt>
                <c:pt idx="121">
                  <c:v>4.142230594810425E-9</c:v>
                </c:pt>
                <c:pt idx="122">
                  <c:v>3.7891957620875543E-9</c:v>
                </c:pt>
                <c:pt idx="123">
                  <c:v>3.4663235608527684E-9</c:v>
                </c:pt>
                <c:pt idx="124">
                  <c:v>3.171024922356471E-9</c:v>
                </c:pt>
                <c:pt idx="125">
                  <c:v>2.9009349637298628E-9</c:v>
                </c:pt>
                <c:pt idx="126">
                  <c:v>2.653893261878592E-9</c:v>
                </c:pt>
                <c:pt idx="127">
                  <c:v>2.4279259132440101E-9</c:v>
                </c:pt>
                <c:pt idx="128">
                  <c:v>2.2212292098635084E-9</c:v>
                </c:pt>
                <c:pt idx="129">
                  <c:v>2.0321547794674612E-9</c:v>
                </c:pt>
                <c:pt idx="130">
                  <c:v>1.8591960527144088E-9</c:v>
                </c:pt>
                <c:pt idx="131">
                  <c:v>1.700975934330101E-9</c:v>
                </c:pt>
                <c:pt idx="132">
                  <c:v>1.5562355670884799E-9</c:v>
                </c:pt>
                <c:pt idx="133">
                  <c:v>1.4238240884341462E-9</c:v>
                </c:pt>
                <c:pt idx="134">
                  <c:v>1.3026892892527936E-9</c:v>
                </c:pt>
                <c:pt idx="135">
                  <c:v>1.191869092984173E-9</c:v>
                </c:pt>
                <c:pt idx="136">
                  <c:v>1.0904837810596643E-9</c:v>
                </c:pt>
                <c:pt idx="137">
                  <c:v>9.9772889763627007E-10</c:v>
                </c:pt>
                <c:pt idx="138">
                  <c:v>9.1286877288083585E-10</c:v>
                </c:pt>
                <c:pt idx="139">
                  <c:v>8.3523060971114113E-10</c:v>
                </c:pt>
                <c:pt idx="140">
                  <c:v>7.6419908399317785E-10</c:v>
                </c:pt>
                <c:pt idx="141">
                  <c:v>6.9921141278702903E-10</c:v>
                </c:pt>
                <c:pt idx="142">
                  <c:v>6.3975284938060816E-10</c:v>
                </c:pt>
                <c:pt idx="143">
                  <c:v>5.8535256759810306E-10</c:v>
                </c:pt>
              </c:numCache>
            </c:numRef>
          </c:yVal>
          <c:smooth val="0"/>
          <c:extLst>
            <c:ext xmlns:c16="http://schemas.microsoft.com/office/drawing/2014/chart" uri="{C3380CC4-5D6E-409C-BE32-E72D297353CC}">
              <c16:uniqueId val="{00000000-1BC8-44B9-8B1B-E060C9E5025B}"/>
            </c:ext>
          </c:extLst>
        </c:ser>
        <c:ser>
          <c:idx val="1"/>
          <c:order val="1"/>
          <c:tx>
            <c:v>Inside</c:v>
          </c:tx>
          <c:spPr>
            <a:ln w="38100">
              <a:solidFill>
                <a:srgbClr val="FF00FF"/>
              </a:solidFill>
              <a:prstDash val="solid"/>
            </a:ln>
          </c:spPr>
          <c:marker>
            <c:symbol val="none"/>
          </c:marker>
          <c:xVal>
            <c:numRef>
              <c:f>Calcs!$E$14:$E$157</c:f>
              <c:numCache>
                <c:formatCode>General</c:formatCode>
                <c:ptCount val="144"/>
                <c:pt idx="0">
                  <c:v>1.0000000000000001E-9</c:v>
                </c:pt>
                <c:pt idx="1">
                  <c:v>1.1944154251433329E-9</c:v>
                </c:pt>
                <c:pt idx="2">
                  <c:v>1.426628207820329E-9</c:v>
                </c:pt>
                <c:pt idx="3">
                  <c:v>1.7039867373651894E-9</c:v>
                </c:pt>
                <c:pt idx="4">
                  <c:v>2.0352680433486435E-9</c:v>
                </c:pt>
                <c:pt idx="5">
                  <c:v>2.4309555452769098E-9</c:v>
                </c:pt>
                <c:pt idx="6">
                  <c:v>2.903570801116463E-9</c:v>
                </c:pt>
                <c:pt idx="7">
                  <c:v>3.4680697528492881E-9</c:v>
                </c:pt>
                <c:pt idx="8">
                  <c:v>4.1423160082762164E-9</c:v>
                </c:pt>
                <c:pt idx="9">
                  <c:v>4.947646136103271E-9</c:v>
                </c:pt>
                <c:pt idx="10">
                  <c:v>5.9095448631125566E-9</c:v>
                </c:pt>
                <c:pt idx="11">
                  <c:v>7.0584515400781839E-9</c:v>
                </c:pt>
                <c:pt idx="12">
                  <c:v>8.4307233970960971E-9</c:v>
                </c:pt>
                <c:pt idx="13">
                  <c:v>1.0069786070608378E-8</c:v>
                </c:pt>
                <c:pt idx="14">
                  <c:v>1.202750781062812E-8</c:v>
                </c:pt>
                <c:pt idx="15">
                  <c:v>1.4365840855046143E-8</c:v>
                </c:pt>
                <c:pt idx="16">
                  <c:v>1.7158781912421401E-8</c:v>
                </c:pt>
                <c:pt idx="17">
                  <c:v>2.0494713792866537E-8</c:v>
                </c:pt>
                <c:pt idx="18">
                  <c:v>2.4479202288097619E-8</c:v>
                </c:pt>
                <c:pt idx="19">
                  <c:v>2.9238336808107765E-8</c:v>
                </c:pt>
                <c:pt idx="20">
                  <c:v>3.4922720489139998E-8</c:v>
                </c:pt>
                <c:pt idx="21">
                  <c:v>4.1712236040197939E-8</c:v>
                </c:pt>
                <c:pt idx="22">
                  <c:v>4.9821738143632075E-8</c:v>
                </c:pt>
                <c:pt idx="23">
                  <c:v>5.9507852546206117E-8</c:v>
                </c:pt>
                <c:pt idx="24">
                  <c:v>7.1077096998343551E-8</c:v>
                </c:pt>
                <c:pt idx="25">
                  <c:v>8.4895581029230429E-8</c:v>
                </c:pt>
                <c:pt idx="26">
                  <c:v>1.0140059150781853E-7</c:v>
                </c:pt>
                <c:pt idx="27">
                  <c:v>1.2111443061559653E-7</c:v>
                </c:pt>
                <c:pt idx="28">
                  <c:v>1.4466094413472041E-7</c:v>
                </c:pt>
                <c:pt idx="29">
                  <c:v>1.72785263090308E-7</c:v>
                </c:pt>
                <c:pt idx="30">
                  <c:v>2.0637738347251289E-7</c:v>
                </c:pt>
                <c:pt idx="31">
                  <c:v>2.4650033022029016E-7</c:v>
                </c:pt>
                <c:pt idx="32">
                  <c:v>2.9442379671803985E-7</c:v>
                </c:pt>
                <c:pt idx="33">
                  <c:v>3.5166432432929187E-7</c:v>
                </c:pt>
                <c:pt idx="34">
                  <c:v>4.2003329345151405E-7</c:v>
                </c:pt>
                <c:pt idx="35">
                  <c:v>5.0169424477224457E-7</c:v>
                </c:pt>
                <c:pt idx="36">
                  <c:v>5.9923134466160378E-7</c:v>
                </c:pt>
                <c:pt idx="37">
                  <c:v>7.1573116129320061E-7</c:v>
                </c:pt>
                <c:pt idx="38">
                  <c:v>8.5488033930434963E-7</c:v>
                </c:pt>
                <c:pt idx="39">
                  <c:v>1.0210822639168816E-6</c:v>
                </c:pt>
                <c:pt idx="40">
                  <c:v>1.219596406362599E-6</c:v>
                </c:pt>
                <c:pt idx="41">
                  <c:v>1.4567047602088648E-6</c:v>
                </c:pt>
                <c:pt idx="42">
                  <c:v>1.7399106354731882E-6</c:v>
                </c:pt>
                <c:pt idx="43">
                  <c:v>2.0781761013801148E-6</c:v>
                </c:pt>
                <c:pt idx="44">
                  <c:v>2.4822055916526437E-6</c:v>
                </c:pt>
                <c:pt idx="45">
                  <c:v>2.9647846470469509E-6</c:v>
                </c:pt>
                <c:pt idx="46">
                  <c:v>3.5411845146610101E-6</c:v>
                </c:pt>
                <c:pt idx="47">
                  <c:v>4.229645407589818E-6</c:v>
                </c:pt>
                <c:pt idx="48">
                  <c:v>5.0519537177119386E-6</c:v>
                </c:pt>
                <c:pt idx="49">
                  <c:v>6.0341314475453467E-6</c:v>
                </c:pt>
                <c:pt idx="50">
                  <c:v>7.2072596782906306E-6</c:v>
                </c:pt>
                <c:pt idx="51">
                  <c:v>8.6084621327639052E-6</c:v>
                </c:pt>
                <c:pt idx="52">
                  <c:v>1.0282079958135483E-5</c:v>
                </c:pt>
                <c:pt idx="53">
                  <c:v>1.2281074904554135E-5</c:v>
                </c:pt>
                <c:pt idx="54">
                  <c:v>1.4668705303340147E-5</c:v>
                </c:pt>
                <c:pt idx="55">
                  <c:v>1.7520527881191282E-5</c:v>
                </c:pt>
                <c:pt idx="56">
                  <c:v>2.0926788757948708E-5</c:v>
                </c:pt>
                <c:pt idx="57">
                  <c:v>2.4995279291210026E-5</c:v>
                </c:pt>
                <c:pt idx="58">
                  <c:v>2.9854747141186971E-5</c:v>
                </c:pt>
                <c:pt idx="59">
                  <c:v>3.5658970499187541E-5</c:v>
                </c:pt>
                <c:pt idx="60">
                  <c:v>4.2591624408960652E-5</c:v>
                </c:pt>
                <c:pt idx="61">
                  <c:v>5.0872093175973905E-5</c:v>
                </c:pt>
                <c:pt idx="62">
                  <c:v>6.0762412798712115E-5</c:v>
                </c:pt>
                <c:pt idx="63">
                  <c:v>7.257556311570843E-5</c:v>
                </c:pt>
                <c:pt idx="64">
                  <c:v>8.6685372073865683E-5</c:v>
                </c:pt>
                <c:pt idx="65">
                  <c:v>1.0353834553931428E-4</c:v>
                </c:pt>
                <c:pt idx="66">
                  <c:v>1.2366779700597738E-4</c:v>
                </c:pt>
                <c:pt idx="67">
                  <c:v>1.4771072433743387E-4</c:v>
                </c:pt>
                <c:pt idx="68">
                  <c:v>1.7642796760772574E-4</c:v>
                </c:pt>
                <c:pt idx="69">
                  <c:v>2.1072828593735591E-4</c:v>
                </c:pt>
                <c:pt idx="70">
                  <c:v>2.516971152375928E-4</c:v>
                </c:pt>
                <c:pt idx="71">
                  <c:v>3.0063091690385989E-4</c:v>
                </c:pt>
                <c:pt idx="72">
                  <c:v>3.5907820442495378E-4</c:v>
                </c:pt>
                <c:pt idx="73">
                  <c:v>4.2888854619793583E-4</c:v>
                </c:pt>
                <c:pt idx="74">
                  <c:v>5.1227109524611353E-4</c:v>
                </c:pt>
                <c:pt idx="75">
                  <c:v>6.1186449801702751E-4</c:v>
                </c:pt>
                <c:pt idx="76">
                  <c:v>7.3082039452911996E-4</c:v>
                </c:pt>
                <c:pt idx="77">
                  <c:v>8.7290315223491712E-4</c:v>
                </c:pt>
                <c:pt idx="78">
                  <c:v>1.0426089896856242E-3</c:v>
                </c:pt>
                <c:pt idx="79">
                  <c:v>1.2453082596736156E-3</c:v>
                </c:pt>
                <c:pt idx="80">
                  <c:v>1.4874153944125657E-3</c:v>
                </c:pt>
                <c:pt idx="81">
                  <c:v>1.776591890682023E-3</c:v>
                </c:pt>
                <c:pt idx="82">
                  <c:v>2.1219887584151662E-3</c:v>
                </c:pt>
                <c:pt idx="83">
                  <c:v>2.5345361050318244E-3</c:v>
                </c:pt>
                <c:pt idx="84">
                  <c:v>3.0272890194327135E-3</c:v>
                </c:pt>
                <c:pt idx="85">
                  <c:v>3.6158407011774685E-3</c:v>
                </c:pt>
                <c:pt idx="86">
                  <c:v>4.318815908347453E-3</c:v>
                </c:pt>
                <c:pt idx="87">
                  <c:v>5.1584603392846127E-3</c:v>
                </c:pt>
                <c:pt idx="88">
                  <c:v>6.161344599231653E-3</c:v>
                </c:pt>
                <c:pt idx="89">
                  <c:v>7.3592050289458533E-3</c:v>
                </c:pt>
                <c:pt idx="90">
                  <c:v>8.7899480033653155E-3</c:v>
                </c:pt>
                <c:pt idx="91">
                  <c:v>1.0498849481427373E-2</c:v>
                </c:pt>
                <c:pt idx="92">
                  <c:v>1.2539987766874938E-2</c:v>
                </c:pt>
                <c:pt idx="93">
                  <c:v>1.4977954819864123E-2</c:v>
                </c:pt>
                <c:pt idx="94">
                  <c:v>1.7889900273945641E-2</c:v>
                </c:pt>
                <c:pt idx="95">
                  <c:v>2.1367972841476613E-2</c:v>
                </c:pt>
                <c:pt idx="96">
                  <c:v>2.5522236365903481E-2</c:v>
                </c:pt>
                <c:pt idx="97">
                  <c:v>3.0484152799589243E-2</c:v>
                </c:pt>
                <c:pt idx="98">
                  <c:v>3.6410742326255706E-2</c:v>
                </c:pt>
                <c:pt idx="99">
                  <c:v>4.3489552275399058E-2</c:v>
                </c:pt>
                <c:pt idx="100">
                  <c:v>5.1944592070313975E-2</c:v>
                </c:pt>
                <c:pt idx="101">
                  <c:v>6.2043422021561073E-2</c:v>
                </c:pt>
                <c:pt idx="102">
                  <c:v>7.4105620291230093E-2</c:v>
                </c:pt>
                <c:pt idx="103">
                  <c:v>8.8512895965660005E-2</c:v>
                </c:pt>
                <c:pt idx="104">
                  <c:v>0.1057211682654914</c:v>
                </c:pt>
                <c:pt idx="105">
                  <c:v>0.12627499414047674</c:v>
                </c:pt>
                <c:pt idx="106">
                  <c:v>0.15082480081126939</c:v>
                </c:pt>
                <c:pt idx="107">
                  <c:v>0.18014746858315087</c:v>
                </c:pt>
                <c:pt idx="108">
                  <c:v>0.21517091527623936</c:v>
                </c:pt>
                <c:pt idx="109">
                  <c:v>0.25700346024814952</c:v>
                </c:pt>
                <c:pt idx="110">
                  <c:v>0.30696889723560117</c:v>
                </c:pt>
                <c:pt idx="111">
                  <c:v>0.3666483858974407</c:v>
                </c:pt>
                <c:pt idx="112">
                  <c:v>0.43793048771980841</c:v>
                </c:pt>
                <c:pt idx="113">
                  <c:v>0.52307092967308211</c:v>
                </c:pt>
                <c:pt idx="114">
                  <c:v>0.62476398684559287</c:v>
                </c:pt>
                <c:pt idx="115">
                  <c:v>0.74622774296242245</c:v>
                </c:pt>
                <c:pt idx="116">
                  <c:v>0.89130592686421173</c:v>
                </c:pt>
                <c:pt idx="117">
                  <c:v>1.0645895475682898</c:v>
                </c:pt>
                <c:pt idx="118">
                  <c:v>1.2715621770619276</c:v>
                </c:pt>
                <c:pt idx="119">
                  <c:v>1.5187734783116043</c:v>
                </c:pt>
                <c:pt idx="120">
                  <c:v>1.8140464697939735</c:v>
                </c:pt>
                <c:pt idx="121">
                  <c:v>2.1667250854487308</c:v>
                </c:pt>
                <c:pt idx="122">
                  <c:v>2.5879698641049704</c:v>
                </c:pt>
                <c:pt idx="123">
                  <c:v>3.0911111254930721</c:v>
                </c:pt>
                <c:pt idx="124">
                  <c:v>3.6920708091210943</c:v>
                </c:pt>
                <c:pt idx="125">
                  <c:v>4.4098663251356616</c:v>
                </c:pt>
                <c:pt idx="126">
                  <c:v>5.2672123615621782</c:v>
                </c:pt>
                <c:pt idx="127">
                  <c:v>6.291239692155508</c:v>
                </c:pt>
                <c:pt idx="128">
                  <c:v>7.5143537315845323</c:v>
                </c:pt>
                <c:pt idx="129">
                  <c:v>8.9752600069879307</c:v>
                </c:pt>
                <c:pt idx="130">
                  <c:v>10.720188997018441</c:v>
                </c:pt>
                <c:pt idx="131">
                  <c:v>12.804359098490664</c:v>
                </c:pt>
                <c:pt idx="132">
                  <c:v>15.29372401631163</c:v>
                </c:pt>
                <c:pt idx="133">
                  <c:v>18.267059872967661</c:v>
                </c:pt>
                <c:pt idx="134">
                  <c:v>21.818458084289382</c:v>
                </c:pt>
                <c:pt idx="135">
                  <c:v>26.060302888718493</c:v>
                </c:pt>
                <c:pt idx="136">
                  <c:v>31.126827754192728</c:v>
                </c:pt>
                <c:pt idx="137">
                  <c:v>37.178363205387406</c:v>
                </c:pt>
                <c:pt idx="138">
                  <c:v>44.406410494096043</c:v>
                </c:pt>
                <c:pt idx="139">
                  <c:v>53.039701669395093</c:v>
                </c:pt>
                <c:pt idx="140">
                  <c:v>63.351437818926094</c:v>
                </c:pt>
                <c:pt idx="141">
                  <c:v>75.667934535934037</c:v>
                </c:pt>
                <c:pt idx="142">
                  <c:v>90.378948198455532</c:v>
                </c:pt>
                <c:pt idx="143">
                  <c:v>107.95000983646553</c:v>
                </c:pt>
              </c:numCache>
            </c:numRef>
          </c:xVal>
          <c:yVal>
            <c:numRef>
              <c:f>Calcs!$J$14:$J$157</c:f>
              <c:numCache>
                <c:formatCode>0.00E+00</c:formatCode>
                <c:ptCount val="144"/>
                <c:pt idx="0">
                  <c:v>6.1531098483851936E-8</c:v>
                </c:pt>
                <c:pt idx="1">
                  <c:v>6.1527002673439447E-8</c:v>
                </c:pt>
                <c:pt idx="2">
                  <c:v>6.1522526862057223E-8</c:v>
                </c:pt>
                <c:pt idx="3">
                  <c:v>6.1517635834231733E-8</c:v>
                </c:pt>
                <c:pt idx="4">
                  <c:v>6.151229113069263E-8</c:v>
                </c:pt>
                <c:pt idx="5">
                  <c:v>6.1506450738985914E-8</c:v>
                </c:pt>
                <c:pt idx="6">
                  <c:v>6.1500068765409487E-8</c:v>
                </c:pt>
                <c:pt idx="7">
                  <c:v>6.1493095086503181E-8</c:v>
                </c:pt>
                <c:pt idx="8">
                  <c:v>6.1485474957586374E-8</c:v>
                </c:pt>
                <c:pt idx="9">
                  <c:v>6.1477148591050944E-8</c:v>
                </c:pt>
                <c:pt idx="10">
                  <c:v>6.1468050697343989E-8</c:v>
                </c:pt>
                <c:pt idx="11">
                  <c:v>6.1458109981343526E-8</c:v>
                </c:pt>
                <c:pt idx="12">
                  <c:v>6.1447248600028062E-8</c:v>
                </c:pt>
                <c:pt idx="13">
                  <c:v>6.1435381564733647E-8</c:v>
                </c:pt>
                <c:pt idx="14">
                  <c:v>6.1422416096175303E-8</c:v>
                </c:pt>
                <c:pt idx="15">
                  <c:v>6.1408250920443159E-8</c:v>
                </c:pt>
                <c:pt idx="16">
                  <c:v>6.139277550308658E-8</c:v>
                </c:pt>
                <c:pt idx="17">
                  <c:v>6.1375869218955404E-8</c:v>
                </c:pt>
                <c:pt idx="18">
                  <c:v>6.1357400447604866E-8</c:v>
                </c:pt>
                <c:pt idx="19">
                  <c:v>6.1337225592870134E-8</c:v>
                </c:pt>
                <c:pt idx="20">
                  <c:v>6.1315188019180052E-8</c:v>
                </c:pt>
                <c:pt idx="21">
                  <c:v>6.1291116897568389E-8</c:v>
                </c:pt>
                <c:pt idx="22">
                  <c:v>6.126482595620668E-8</c:v>
                </c:pt>
                <c:pt idx="23">
                  <c:v>6.1236112128043789E-8</c:v>
                </c:pt>
                <c:pt idx="24">
                  <c:v>6.1204754088071566E-8</c:v>
                </c:pt>
                <c:pt idx="25">
                  <c:v>6.1170510673654999E-8</c:v>
                </c:pt>
                <c:pt idx="26">
                  <c:v>6.1133119180569177E-8</c:v>
                </c:pt>
                <c:pt idx="27">
                  <c:v>6.1092293526674558E-8</c:v>
                </c:pt>
                <c:pt idx="28">
                  <c:v>6.1047722276661345E-8</c:v>
                </c:pt>
                <c:pt idx="29">
                  <c:v>6.0999066520464044E-8</c:v>
                </c:pt>
                <c:pt idx="30">
                  <c:v>6.094595759879472E-8</c:v>
                </c:pt>
                <c:pt idx="31">
                  <c:v>6.088799466986125E-8</c:v>
                </c:pt>
                <c:pt idx="32">
                  <c:v>6.0824742112148453E-8</c:v>
                </c:pt>
                <c:pt idx="33">
                  <c:v>6.0755726759574801E-8</c:v>
                </c:pt>
                <c:pt idx="34">
                  <c:v>6.0680434966983583E-8</c:v>
                </c:pt>
                <c:pt idx="35">
                  <c:v>6.0598309506086232E-8</c:v>
                </c:pt>
                <c:pt idx="36">
                  <c:v>6.0508746294751115E-8</c:v>
                </c:pt>
                <c:pt idx="37">
                  <c:v>6.0411090966232936E-8</c:v>
                </c:pt>
                <c:pt idx="38">
                  <c:v>6.0304635289064481E-8</c:v>
                </c:pt>
                <c:pt idx="39">
                  <c:v>6.0188613453814005E-8</c:v>
                </c:pt>
                <c:pt idx="40">
                  <c:v>6.0062198249332793E-8</c:v>
                </c:pt>
                <c:pt idx="41">
                  <c:v>5.9924497159050676E-8</c:v>
                </c:pt>
                <c:pt idx="42">
                  <c:v>5.9774548417099239E-8</c:v>
                </c:pt>
                <c:pt idx="43">
                  <c:v>5.961131707523466E-8</c:v>
                </c:pt>
                <c:pt idx="44">
                  <c:v>5.9433691144555462E-8</c:v>
                </c:pt>
                <c:pt idx="45">
                  <c:v>5.9240477891302578E-8</c:v>
                </c:pt>
                <c:pt idx="46">
                  <c:v>5.90304003836522E-8</c:v>
                </c:pt>
                <c:pt idx="47">
                  <c:v>5.8802094406767776E-8</c:v>
                </c:pt>
                <c:pt idx="48">
                  <c:v>5.8554105886456256E-8</c:v>
                </c:pt>
                <c:pt idx="49">
                  <c:v>5.8284888987770826E-8</c:v>
                </c:pt>
                <c:pt idx="50">
                  <c:v>5.7992805083879829E-8</c:v>
                </c:pt>
                <c:pt idx="51">
                  <c:v>5.7676122822257669E-8</c:v>
                </c:pt>
                <c:pt idx="52">
                  <c:v>5.733301954956122E-8</c:v>
                </c:pt>
                <c:pt idx="53">
                  <c:v>5.6961584392846334E-8</c:v>
                </c:pt>
                <c:pt idx="54">
                  <c:v>5.6559823332172154E-8</c:v>
                </c:pt>
                <c:pt idx="55">
                  <c:v>5.612566663691877E-8</c:v>
                </c:pt>
                <c:pt idx="56">
                  <c:v>5.5656979073453251E-8</c:v>
                </c:pt>
                <c:pt idx="57">
                  <c:v>5.5151573322758188E-8</c:v>
                </c:pt>
                <c:pt idx="58">
                  <c:v>5.4607227070094044E-8</c:v>
                </c:pt>
                <c:pt idx="59">
                  <c:v>5.4021704240714062E-8</c:v>
                </c:pt>
                <c:pt idx="60">
                  <c:v>5.3392780851126125E-8</c:v>
                </c:pt>
                <c:pt idx="61">
                  <c:v>5.2718275918460113E-8</c:v>
                </c:pt>
                <c:pt idx="62">
                  <c:v>5.1996087814218576E-8</c:v>
                </c:pt>
                <c:pt idx="63">
                  <c:v>5.122423635527425E-8</c:v>
                </c:pt>
                <c:pt idx="64">
                  <c:v>5.040091078605621E-8</c:v>
                </c:pt>
                <c:pt idx="65">
                  <c:v>4.9524523612944035E-8</c:v>
                </c:pt>
                <c:pt idx="66">
                  <c:v>4.8593769997103939E-8</c:v>
                </c:pt>
                <c:pt idx="67">
                  <c:v>4.760769208918161E-8</c:v>
                </c:pt>
                <c:pt idx="68">
                  <c:v>4.6565747295364482E-8</c:v>
                </c:pt>
                <c:pt idx="69">
                  <c:v>4.5467879001224471E-8</c:v>
                </c:pt>
                <c:pt idx="70">
                  <c:v>4.4314587756424093E-8</c:v>
                </c:pt>
                <c:pt idx="71">
                  <c:v>4.3107000358254064E-8</c:v>
                </c:pt>
                <c:pt idx="72">
                  <c:v>4.1846933695339517E-8</c:v>
                </c:pt>
                <c:pt idx="73">
                  <c:v>4.0536949668742413E-8</c:v>
                </c:pt>
                <c:pt idx="74">
                  <c:v>3.918039705489988E-8</c:v>
                </c:pt>
                <c:pt idx="75">
                  <c:v>3.7781435886189933E-8</c:v>
                </c:pt>
                <c:pt idx="76">
                  <c:v>3.6345039883955505E-8</c:v>
                </c:pt>
                <c:pt idx="77">
                  <c:v>3.4876972773140135E-8</c:v>
                </c:pt>
                <c:pt idx="78">
                  <c:v>3.3383735018188889E-8</c:v>
                </c:pt>
                <c:pt idx="79">
                  <c:v>3.1872478705872428E-8</c:v>
                </c:pt>
                <c:pt idx="80">
                  <c:v>3.0350889981738912E-8</c:v>
                </c:pt>
                <c:pt idx="81">
                  <c:v>2.8827040583265031E-8</c:v>
                </c:pt>
                <c:pt idx="82">
                  <c:v>2.7309212488425738E-8</c:v>
                </c:pt>
                <c:pt idx="83">
                  <c:v>2.5805702311436075E-8</c:v>
                </c:pt>
                <c:pt idx="84">
                  <c:v>2.4324614544047386E-8</c:v>
                </c:pt>
                <c:pt idx="85">
                  <c:v>2.2873654718249038E-8</c:v>
                </c:pt>
                <c:pt idx="86">
                  <c:v>2.1459934697590458E-8</c:v>
                </c:pt>
                <c:pt idx="87">
                  <c:v>2.0089802282946538E-8</c:v>
                </c:pt>
                <c:pt idx="88">
                  <c:v>1.8768705963026512E-8</c:v>
                </c:pt>
                <c:pt idx="89">
                  <c:v>1.7501102962964092E-8</c:v>
                </c:pt>
                <c:pt idx="90">
                  <c:v>1.6290414993503236E-8</c:v>
                </c:pt>
                <c:pt idx="91">
                  <c:v>1.5139031752919908E-8</c:v>
                </c:pt>
                <c:pt idx="92">
                  <c:v>1.4048357916010606E-8</c:v>
                </c:pt>
                <c:pt idx="93">
                  <c:v>1.3018895725269554E-8</c:v>
                </c:pt>
                <c:pt idx="94">
                  <c:v>1.2050352927138101E-8</c:v>
                </c:pt>
                <c:pt idx="95">
                  <c:v>1.1141764966475403E-8</c:v>
                </c:pt>
                <c:pt idx="96">
                  <c:v>1.0291621035788479E-8</c:v>
                </c:pt>
                <c:pt idx="97">
                  <c:v>9.4979854385067998E-9</c:v>
                </c:pt>
                <c:pt idx="98">
                  <c:v>8.7586082389979015E-9</c:v>
                </c:pt>
                <c:pt idx="99">
                  <c:v>8.071021771651543E-9</c:v>
                </c:pt>
                <c:pt idx="100">
                  <c:v>7.4326218167684222E-9</c:v>
                </c:pt>
                <c:pt idx="101">
                  <c:v>6.8407338740992547E-9</c:v>
                </c:pt>
                <c:pt idx="102">
                  <c:v>6.2926659360741471E-9</c:v>
                </c:pt>
                <c:pt idx="103">
                  <c:v>5.7857495913745858E-9</c:v>
                </c:pt>
                <c:pt idx="104">
                  <c:v>5.317371348788502E-9</c:v>
                </c:pt>
                <c:pt idx="105">
                  <c:v>4.8849959271163759E-9</c:v>
                </c:pt>
                <c:pt idx="106">
                  <c:v>4.4861830302171742E-9</c:v>
                </c:pt>
                <c:pt idx="107">
                  <c:v>4.1185988875549898E-9</c:v>
                </c:pt>
                <c:pt idx="108">
                  <c:v>3.7800236220692084E-9</c:v>
                </c:pt>
                <c:pt idx="109">
                  <c:v>3.4683553188834894E-9</c:v>
                </c:pt>
                <c:pt idx="110">
                  <c:v>3.1816115102181483E-9</c:v>
                </c:pt>
                <c:pt idx="111">
                  <c:v>2.9179286603770528E-9</c:v>
                </c:pt>
                <c:pt idx="112">
                  <c:v>2.6755601257798331E-9</c:v>
                </c:pt>
                <c:pt idx="113">
                  <c:v>2.4528729749991064E-9</c:v>
                </c:pt>
                <c:pt idx="114">
                  <c:v>2.2483439794798507E-9</c:v>
                </c:pt>
                <c:pt idx="115">
                  <c:v>2.0605550244141942E-9</c:v>
                </c:pt>
                <c:pt idx="116">
                  <c:v>1.8881881389071309E-9</c:v>
                </c:pt>
                <c:pt idx="117">
                  <c:v>1.7300203032514653E-9</c:v>
                </c:pt>
                <c:pt idx="118">
                  <c:v>1.5849181572951391E-9</c:v>
                </c:pt>
                <c:pt idx="119">
                  <c:v>1.4518327062487744E-9</c:v>
                </c:pt>
                <c:pt idx="120">
                  <c:v>1.3297940977777492E-9</c:v>
                </c:pt>
                <c:pt idx="121">
                  <c:v>1.2179065259623092E-9</c:v>
                </c:pt>
                <c:pt idx="122">
                  <c:v>1.1153433029511757E-9</c:v>
                </c:pt>
                <c:pt idx="123">
                  <c:v>1.0213421272636616E-9</c:v>
                </c:pt>
                <c:pt idx="124">
                  <c:v>9.3520056820111594E-10</c:v>
                </c:pt>
                <c:pt idx="125">
                  <c:v>8.5627177828613094E-10</c:v>
                </c:pt>
                <c:pt idx="126">
                  <c:v>7.8396043970503251E-10</c:v>
                </c:pt>
                <c:pt idx="127">
                  <c:v>7.1771894609386905E-10</c:v>
                </c:pt>
                <c:pt idx="128">
                  <c:v>6.5704381743859015E-10</c:v>
                </c:pt>
                <c:pt idx="129">
                  <c:v>6.0147234315647321E-10</c:v>
                </c:pt>
                <c:pt idx="130">
                  <c:v>5.505794464229199E-10</c:v>
                </c:pt>
                <c:pt idx="131">
                  <c:v>5.0397476136933896E-10</c:v>
                </c:pt>
                <c:pt idx="132">
                  <c:v>4.6129991379175825E-10</c:v>
                </c:pt>
                <c:pt idx="133">
                  <c:v>4.2222599538391892E-10</c:v>
                </c:pt>
                <c:pt idx="134">
                  <c:v>3.8645122116729614E-10</c:v>
                </c:pt>
                <c:pt idx="135">
                  <c:v>3.5369875967189482E-10</c:v>
                </c:pt>
                <c:pt idx="136">
                  <c:v>3.2371472547535342E-10</c:v>
                </c:pt>
                <c:pt idx="137">
                  <c:v>2.9626632389278522E-10</c:v>
                </c:pt>
                <c:pt idx="138">
                  <c:v>2.711401378926584E-10</c:v>
                </c:pt>
                <c:pt idx="139">
                  <c:v>2.481405476680194E-10</c:v>
                </c:pt>
                <c:pt idx="140">
                  <c:v>2.2708827369596944E-10</c:v>
                </c:pt>
                <c:pt idx="141">
                  <c:v>2.0781903455431649E-10</c:v>
                </c:pt>
                <c:pt idx="142">
                  <c:v>1.9018231121913907E-10</c:v>
                </c:pt>
                <c:pt idx="143">
                  <c:v>1.7404021002991489E-10</c:v>
                </c:pt>
              </c:numCache>
            </c:numRef>
          </c:yVal>
          <c:smooth val="0"/>
          <c:extLst>
            <c:ext xmlns:c16="http://schemas.microsoft.com/office/drawing/2014/chart" uri="{C3380CC4-5D6E-409C-BE32-E72D297353CC}">
              <c16:uniqueId val="{00000001-1BC8-44B9-8B1B-E060C9E5025B}"/>
            </c:ext>
          </c:extLst>
        </c:ser>
        <c:dLbls>
          <c:showLegendKey val="0"/>
          <c:showVal val="0"/>
          <c:showCatName val="0"/>
          <c:showSerName val="0"/>
          <c:showPercent val="0"/>
          <c:showBubbleSize val="0"/>
        </c:dLbls>
        <c:axId val="217897472"/>
        <c:axId val="217897080"/>
      </c:scatterChart>
      <c:valAx>
        <c:axId val="217897472"/>
        <c:scaling>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GHz</a:t>
                </a:r>
              </a:p>
            </c:rich>
          </c:tx>
          <c:layout>
            <c:manualLayout>
              <c:xMode val="edge"/>
              <c:yMode val="edge"/>
              <c:x val="0.4705883355068643"/>
              <c:y val="0.9115281924226253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897080"/>
        <c:crossesAt val="1E-14"/>
        <c:crossBetween val="midCat"/>
      </c:valAx>
      <c:valAx>
        <c:axId val="217897080"/>
        <c:scaling>
          <c:logBase val="10"/>
          <c:orientation val="minMax"/>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Area (meters2)</a:t>
                </a:r>
              </a:p>
            </c:rich>
          </c:tx>
          <c:layout>
            <c:manualLayout>
              <c:xMode val="edge"/>
              <c:yMode val="edge"/>
              <c:x val="2.4340849406246992E-2"/>
              <c:y val="0.37801610995578594"/>
            </c:manualLayout>
          </c:layout>
          <c:overlay val="0"/>
          <c:spPr>
            <a:noFill/>
            <a:ln w="25400">
              <a:noFill/>
            </a:ln>
          </c:spPr>
        </c:title>
        <c:numFmt formatCode="0.00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897472"/>
        <c:crossesAt val="1E-10"/>
        <c:crossBetween val="midCat"/>
      </c:valAx>
      <c:spPr>
        <a:noFill/>
        <a:ln w="12700">
          <a:solidFill>
            <a:srgbClr val="808080"/>
          </a:solidFill>
          <a:prstDash val="solid"/>
        </a:ln>
      </c:spPr>
    </c:plotArea>
    <c:legend>
      <c:legendPos val="r"/>
      <c:layout>
        <c:manualLayout>
          <c:xMode val="edge"/>
          <c:yMode val="edge"/>
          <c:x val="0.6064909499622223"/>
          <c:y val="0.28418239171748738"/>
          <c:w val="0.16024346386160493"/>
          <c:h val="0.109919450221070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Coax cable metal resistance per meter
Frequency axis on log scales</a:t>
            </a:r>
          </a:p>
        </c:rich>
      </c:tx>
      <c:layout>
        <c:manualLayout>
          <c:xMode val="edge"/>
          <c:yMode val="edge"/>
          <c:x val="0.27991888268485016"/>
          <c:y val="1.8766824874571791E-2"/>
        </c:manualLayout>
      </c:layout>
      <c:overlay val="0"/>
      <c:spPr>
        <a:noFill/>
        <a:ln w="25400">
          <a:noFill/>
        </a:ln>
      </c:spPr>
    </c:title>
    <c:autoTitleDeleted val="0"/>
    <c:plotArea>
      <c:layout>
        <c:manualLayout>
          <c:layoutTarget val="inner"/>
          <c:xMode val="edge"/>
          <c:yMode val="edge"/>
          <c:x val="0.13995943204868155"/>
          <c:y val="0.15281501340482573"/>
          <c:w val="0.76064908722109537"/>
          <c:h val="0.63270777479892759"/>
        </c:manualLayout>
      </c:layout>
      <c:scatterChart>
        <c:scatterStyle val="lineMarker"/>
        <c:varyColors val="0"/>
        <c:ser>
          <c:idx val="0"/>
          <c:order val="0"/>
          <c:tx>
            <c:v>Outside jacket</c:v>
          </c:tx>
          <c:spPr>
            <a:ln w="12700">
              <a:solidFill>
                <a:srgbClr val="0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Calcs!$O$14:$O$157</c:f>
              <c:numCache>
                <c:formatCode>0.00E+00</c:formatCode>
                <c:ptCount val="144"/>
                <c:pt idx="0">
                  <c:v>4.0042359083218571E-2</c:v>
                </c:pt>
                <c:pt idx="1">
                  <c:v>4.0046068992051272E-2</c:v>
                </c:pt>
                <c:pt idx="2">
                  <c:v>4.0050123798137438E-2</c:v>
                </c:pt>
                <c:pt idx="3">
                  <c:v>4.0054555593089639E-2</c:v>
                </c:pt>
                <c:pt idx="4">
                  <c:v>4.0059399459407757E-2</c:v>
                </c:pt>
                <c:pt idx="5">
                  <c:v>4.0064693751852808E-2</c:v>
                </c:pt>
                <c:pt idx="6">
                  <c:v>4.00704804018292E-2</c:v>
                </c:pt>
                <c:pt idx="7">
                  <c:v>4.0076805253582572E-2</c:v>
                </c:pt>
                <c:pt idx="8">
                  <c:v>4.0083718431104504E-2</c:v>
                </c:pt>
                <c:pt idx="9">
                  <c:v>4.0091274739588616E-2</c:v>
                </c:pt>
                <c:pt idx="10">
                  <c:v>4.009953410511051E-2</c:v>
                </c:pt>
                <c:pt idx="11">
                  <c:v>4.0108562055925036E-2</c:v>
                </c:pt>
                <c:pt idx="12">
                  <c:v>4.0118430250341085E-2</c:v>
                </c:pt>
                <c:pt idx="13">
                  <c:v>4.0129217054141061E-2</c:v>
                </c:pt>
                <c:pt idx="14">
                  <c:v>4.0141008173388892E-2</c:v>
                </c:pt>
                <c:pt idx="15">
                  <c:v>4.0153897348485623E-2</c:v>
                </c:pt>
                <c:pt idx="16">
                  <c:v>4.0167987114366956E-2</c:v>
                </c:pt>
                <c:pt idx="17">
                  <c:v>4.0183389634531337E-2</c:v>
                </c:pt>
                <c:pt idx="18">
                  <c:v>4.0200227615443958E-2</c:v>
                </c:pt>
                <c:pt idx="19">
                  <c:v>4.021863531016337E-2</c:v>
                </c:pt>
                <c:pt idx="20">
                  <c:v>4.0238759619602979E-2</c:v>
                </c:pt>
                <c:pt idx="21">
                  <c:v>4.0260761301832253E-2</c:v>
                </c:pt>
                <c:pt idx="22">
                  <c:v>4.028481630041611E-2</c:v>
                </c:pt>
                <c:pt idx="23">
                  <c:v>4.0311117204011038E-2</c:v>
                </c:pt>
                <c:pt idx="24">
                  <c:v>4.0339874851239792E-2</c:v>
                </c:pt>
                <c:pt idx="25">
                  <c:v>4.0371320095991661E-2</c:v>
                </c:pt>
                <c:pt idx="26">
                  <c:v>4.0405705750264809E-2</c:v>
                </c:pt>
                <c:pt idx="27">
                  <c:v>4.0443308723891819E-2</c:v>
                </c:pt>
                <c:pt idx="28">
                  <c:v>4.0484432382391085E-2</c:v>
                </c:pt>
                <c:pt idx="29">
                  <c:v>4.0529409147091681E-2</c:v>
                </c:pt>
                <c:pt idx="30">
                  <c:v>4.0578603364586942E-2</c:v>
                </c:pt>
                <c:pt idx="31">
                  <c:v>4.0632414475877857E-2</c:v>
                </c:pt>
                <c:pt idx="32">
                  <c:v>4.0691280519564436E-2</c:v>
                </c:pt>
                <c:pt idx="33">
                  <c:v>4.0755682007810691E-2</c:v>
                </c:pt>
                <c:pt idx="34">
                  <c:v>4.0826146218939666E-2</c:v>
                </c:pt>
                <c:pt idx="35">
                  <c:v>4.0903251956407601E-2</c:v>
                </c:pt>
                <c:pt idx="36">
                  <c:v>4.0987634830645381E-2</c:v>
                </c:pt>
                <c:pt idx="37">
                  <c:v>4.1079993128082151E-2</c:v>
                </c:pt>
                <c:pt idx="38">
                  <c:v>4.1181094340727017E-2</c:v>
                </c:pt>
                <c:pt idx="39">
                  <c:v>4.1291782440141547E-2</c:v>
                </c:pt>
                <c:pt idx="40">
                  <c:v>4.14129859918125E-2</c:v>
                </c:pt>
                <c:pt idx="41">
                  <c:v>4.154572722008807E-2</c:v>
                </c:pt>
                <c:pt idx="42">
                  <c:v>4.1691132150300049E-2</c:v>
                </c:pt>
                <c:pt idx="43">
                  <c:v>4.1850441973895168E-2</c:v>
                </c:pt>
                <c:pt idx="44">
                  <c:v>4.2025025804852706E-2</c:v>
                </c:pt>
                <c:pt idx="45">
                  <c:v>4.2216395021837751E-2</c:v>
                </c:pt>
                <c:pt idx="46">
                  <c:v>4.2426219421217083E-2</c:v>
                </c:pt>
                <c:pt idx="47">
                  <c:v>4.2656345441961487E-2</c:v>
                </c:pt>
                <c:pt idx="48">
                  <c:v>4.290881676550197E-2</c:v>
                </c:pt>
                <c:pt idx="49">
                  <c:v>4.3185897642876621E-2</c:v>
                </c:pt>
                <c:pt idx="50">
                  <c:v>4.3490099359239309E-2</c:v>
                </c:pt>
                <c:pt idx="51">
                  <c:v>4.382421031342152E-2</c:v>
                </c:pt>
                <c:pt idx="52">
                  <c:v>4.4191330269394341E-2</c:v>
                </c:pt>
                <c:pt idx="53">
                  <c:v>4.4594909429005972E-2</c:v>
                </c:pt>
                <c:pt idx="54">
                  <c:v>4.5038793083352367E-2</c:v>
                </c:pt>
                <c:pt idx="55">
                  <c:v>4.5527272725828474E-2</c:v>
                </c:pt>
                <c:pt idx="56">
                  <c:v>4.6065144655706852E-2</c:v>
                </c:pt>
                <c:pt idx="57">
                  <c:v>4.6657777269461735E-2</c:v>
                </c:pt>
                <c:pt idx="58">
                  <c:v>4.7311188430326258E-2</c:v>
                </c:pt>
                <c:pt idx="59">
                  <c:v>4.8032134526686622E-2</c:v>
                </c:pt>
                <c:pt idx="60">
                  <c:v>4.8828213078014882E-2</c:v>
                </c:pt>
                <c:pt idx="61">
                  <c:v>4.9707981022814519E-2</c:v>
                </c:pt>
                <c:pt idx="62">
                  <c:v>5.0681091123828549E-2</c:v>
                </c:pt>
                <c:pt idx="63">
                  <c:v>5.175844924514407E-2</c:v>
                </c:pt>
                <c:pt idx="64">
                  <c:v>5.2952395581856444E-2</c:v>
                </c:pt>
                <c:pt idx="65">
                  <c:v>5.4276913235484316E-2</c:v>
                </c:pt>
                <c:pt idx="66">
                  <c:v>5.5747867795589504E-2</c:v>
                </c:pt>
                <c:pt idx="67">
                  <c:v>5.7383281762198174E-2</c:v>
                </c:pt>
                <c:pt idx="68">
                  <c:v>5.9203647655145859E-2</c:v>
                </c:pt>
                <c:pt idx="69">
                  <c:v>6.1232283407819374E-2</c:v>
                </c:pt>
                <c:pt idx="70">
                  <c:v>6.3495733001572782E-2</c:v>
                </c:pt>
                <c:pt idx="71">
                  <c:v>6.6024214090559738E-2</c:v>
                </c:pt>
                <c:pt idx="72">
                  <c:v>6.8852112379803876E-2</c:v>
                </c:pt>
                <c:pt idx="73">
                  <c:v>7.2018519501370351E-2</c:v>
                </c:pt>
                <c:pt idx="74">
                  <c:v>7.5567806820824743E-2</c:v>
                </c:pt>
                <c:pt idx="75">
                  <c:v>7.9550221771312851E-2</c:v>
                </c:pt>
                <c:pt idx="76">
                  <c:v>8.4022485854188853E-2</c:v>
                </c:pt>
                <c:pt idx="77">
                  <c:v>8.904836453290095E-2</c:v>
                </c:pt>
                <c:pt idx="78">
                  <c:v>9.4699169530935212E-2</c:v>
                </c:pt>
                <c:pt idx="79">
                  <c:v>0.10105414491936716</c:v>
                </c:pt>
                <c:pt idx="80">
                  <c:v>0.10820068225230489</c:v>
                </c:pt>
                <c:pt idx="81">
                  <c:v>0.11623431045584436</c:v>
                </c:pt>
                <c:pt idx="82">
                  <c:v>0.12525841777990962</c:v>
                </c:pt>
                <c:pt idx="83">
                  <c:v>0.13538369069725611</c:v>
                </c:pt>
                <c:pt idx="84">
                  <c:v>0.14672730156889391</c:v>
                </c:pt>
                <c:pt idx="85">
                  <c:v>0.15941194255505398</c:v>
                </c:pt>
                <c:pt idx="86">
                  <c:v>0.17356487994508232</c:v>
                </c:pt>
                <c:pt idx="87">
                  <c:v>0.18931727396957373</c:v>
                </c:pt>
                <c:pt idx="88">
                  <c:v>0.20680404926272389</c:v>
                </c:pt>
                <c:pt idx="89">
                  <c:v>0.22616458350379795</c:v>
                </c:pt>
                <c:pt idx="90">
                  <c:v>0.24754438893407948</c:v>
                </c:pt>
                <c:pt idx="91">
                  <c:v>0.27109779869763945</c:v>
                </c:pt>
                <c:pt idx="92">
                  <c:v>0.29699147285957933</c:v>
                </c:pt>
                <c:pt idx="93">
                  <c:v>0.32540836750320423</c:v>
                </c:pt>
                <c:pt idx="94">
                  <c:v>0.3565517274801015</c:v>
                </c:pt>
                <c:pt idx="95">
                  <c:v>0.3906487060927985</c:v>
                </c:pt>
                <c:pt idx="96">
                  <c:v>0.4279533730151272</c:v>
                </c:pt>
                <c:pt idx="97">
                  <c:v>0.46874908867064491</c:v>
                </c:pt>
                <c:pt idx="98">
                  <c:v>0.51335042120014118</c:v>
                </c:pt>
                <c:pt idx="99">
                  <c:v>0.56210489743887104</c:v>
                </c:pt>
                <c:pt idx="100">
                  <c:v>0.61539488954483579</c:v>
                </c:pt>
                <c:pt idx="101">
                  <c:v>0.6736398667526432</c:v>
                </c:pt>
                <c:pt idx="102">
                  <c:v>0.73729913629233856</c:v>
                </c:pt>
                <c:pt idx="103">
                  <c:v>0.80687510641529125</c:v>
                </c:pt>
                <c:pt idx="104">
                  <c:v>0.88291705339772342</c:v>
                </c:pt>
                <c:pt idx="105">
                  <c:v>0.96602536344412626</c:v>
                </c:pt>
                <c:pt idx="106">
                  <c:v>1.0568562342565755</c:v>
                </c:pt>
                <c:pt idx="107">
                  <c:v>1.1561268425943581</c:v>
                </c:pt>
                <c:pt idx="108">
                  <c:v>1.2646210029327074</c:v>
                </c:pt>
                <c:pt idx="109">
                  <c:v>1.3831953553350538</c:v>
                </c:pt>
                <c:pt idx="110">
                  <c:v>1.5127861291330398</c:v>
                </c:pt>
                <c:pt idx="111">
                  <c:v>1.6544165351780518</c:v>
                </c:pt>
                <c:pt idx="112">
                  <c:v>1.8092048448850269</c:v>
                </c:pt>
                <c:pt idx="113">
                  <c:v>1.9783732198329111</c:v>
                </c:pt>
                <c:pt idx="114">
                  <c:v>2.163257361635742</c:v>
                </c:pt>
                <c:pt idx="115">
                  <c:v>2.3653170582782761</c:v>
                </c:pt>
                <c:pt idx="116">
                  <c:v>2.5861477101884187</c:v>
                </c:pt>
                <c:pt idx="117">
                  <c:v>2.8274929270541627</c:v>
                </c:pt>
                <c:pt idx="118">
                  <c:v>3.0912582948467833</c:v>
                </c:pt>
                <c:pt idx="119">
                  <c:v>3.3795264217513914</c:v>
                </c:pt>
                <c:pt idx="120">
                  <c:v>3.694573381803659</c:v>
                </c:pt>
                <c:pt idx="121">
                  <c:v>4.0388866860671895</c:v>
                </c:pt>
                <c:pt idx="122">
                  <c:v>4.4151849232468958</c:v>
                </c:pt>
                <c:pt idx="123">
                  <c:v>4.8264392248149406</c:v>
                </c:pt>
                <c:pt idx="124">
                  <c:v>5.275896724131548</c:v>
                </c:pt>
                <c:pt idx="125">
                  <c:v>5.7671061947867619</c:v>
                </c:pt>
                <c:pt idx="126">
                  <c:v>6.3039460705957175</c:v>
                </c:pt>
                <c:pt idx="127">
                  <c:v>6.8906550684846257</c:v>
                </c:pt>
                <c:pt idx="128">
                  <c:v>7.5318656560562873</c:v>
                </c:pt>
                <c:pt idx="129">
                  <c:v>8.2326406280845408</c:v>
                </c:pt>
                <c:pt idx="130">
                  <c:v>8.9985130807342006</c:v>
                </c:pt>
                <c:pt idx="131">
                  <c:v>9.8355300991303043</c:v>
                </c:pt>
                <c:pt idx="132">
                  <c:v>10.750300503219906</c:v>
                </c:pt>
                <c:pt idx="133">
                  <c:v>11.75004702891272</c:v>
                </c:pt>
                <c:pt idx="134">
                  <c:v>12.842663356506232</c:v>
                </c:pt>
                <c:pt idx="135">
                  <c:v>14.03677643667379</c:v>
                </c:pt>
                <c:pt idx="136">
                  <c:v>15.341814606121723</c:v>
                </c:pt>
                <c:pt idx="137">
                  <c:v>16.768082030735222</c:v>
                </c:pt>
                <c:pt idx="138">
                  <c:v>18.326840063992314</c:v>
                </c:pt>
                <c:pt idx="139">
                  <c:v>20.030396163026111</c:v>
                </c:pt>
                <c:pt idx="140">
                  <c:v>21.892201064388285</c:v>
                </c:pt>
                <c:pt idx="141">
                  <c:v>23.926954986782729</c:v>
                </c:pt>
                <c:pt idx="142">
                  <c:v>26.150723699312238</c:v>
                </c:pt>
                <c:pt idx="143">
                  <c:v>28.581065371676381</c:v>
                </c:pt>
              </c:numCache>
            </c:numRef>
          </c:yVal>
          <c:smooth val="0"/>
          <c:extLst>
            <c:ext xmlns:c16="http://schemas.microsoft.com/office/drawing/2014/chart" uri="{C3380CC4-5D6E-409C-BE32-E72D297353CC}">
              <c16:uniqueId val="{00000000-D23E-4514-BF87-315A1D3D1BCE}"/>
            </c:ext>
          </c:extLst>
        </c:ser>
        <c:ser>
          <c:idx val="1"/>
          <c:order val="1"/>
          <c:tx>
            <c:v>Center conductor</c:v>
          </c:tx>
          <c:spPr>
            <a:ln w="12700">
              <a:solidFill>
                <a:srgbClr val="FF00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Calcs!$P$14:$P$157</c:f>
              <c:numCache>
                <c:formatCode>0.00E+00</c:formatCode>
                <c:ptCount val="144"/>
                <c:pt idx="0">
                  <c:v>0.27189503214200833</c:v>
                </c:pt>
                <c:pt idx="1">
                  <c:v>0.27191313200800798</c:v>
                </c:pt>
                <c:pt idx="2">
                  <c:v>0.27193291389853319</c:v>
                </c:pt>
                <c:pt idx="3">
                  <c:v>0.27195453422627347</c:v>
                </c:pt>
                <c:pt idx="4">
                  <c:v>0.27197816391612628</c:v>
                </c:pt>
                <c:pt idx="5">
                  <c:v>0.27200398980908319</c:v>
                </c:pt>
                <c:pt idx="6">
                  <c:v>0.27203221615598805</c:v>
                </c:pt>
                <c:pt idx="7">
                  <c:v>0.27206306621037174</c:v>
                </c:pt>
                <c:pt idx="8">
                  <c:v>0.27209678402160203</c:v>
                </c:pt>
                <c:pt idx="9">
                  <c:v>0.27213363637420457</c:v>
                </c:pt>
                <c:pt idx="10">
                  <c:v>0.27217391490703152</c:v>
                </c:pt>
                <c:pt idx="11">
                  <c:v>0.27221793844748282</c:v>
                </c:pt>
                <c:pt idx="12">
                  <c:v>0.27226605553812155</c:v>
                </c:pt>
                <c:pt idx="13">
                  <c:v>0.27231864723379023</c:v>
                </c:pt>
                <c:pt idx="14">
                  <c:v>0.27237613013796369</c:v>
                </c:pt>
                <c:pt idx="15">
                  <c:v>0.272438959736443</c:v>
                </c:pt>
                <c:pt idx="16">
                  <c:v>0.27250763404822581</c:v>
                </c:pt>
                <c:pt idx="17">
                  <c:v>0.27258269761225778</c:v>
                </c:pt>
                <c:pt idx="18">
                  <c:v>0.27266474586527356</c:v>
                </c:pt>
                <c:pt idx="19">
                  <c:v>0.27275442992884086</c:v>
                </c:pt>
                <c:pt idx="20">
                  <c:v>0.2728524618527905</c:v>
                </c:pt>
                <c:pt idx="21">
                  <c:v>0.27295962036325255</c:v>
                </c:pt>
                <c:pt idx="22">
                  <c:v>0.27307675715848667</c:v>
                </c:pt>
                <c:pt idx="23">
                  <c:v>0.2732048038095205</c:v>
                </c:pt>
                <c:pt idx="24">
                  <c:v>0.27334477932753554</c:v>
                </c:pt>
                <c:pt idx="25">
                  <c:v>0.27349779846133115</c:v>
                </c:pt>
                <c:pt idx="26">
                  <c:v>0.27366508079825802</c:v>
                </c:pt>
                <c:pt idx="27">
                  <c:v>0.27384796075294227</c:v>
                </c:pt>
                <c:pt idx="28">
                  <c:v>0.27404789853062073</c:v>
                </c:pt>
                <c:pt idx="29">
                  <c:v>0.27426649216652194</c:v>
                </c:pt>
                <c:pt idx="30">
                  <c:v>0.27450549075187325</c:v>
                </c:pt>
                <c:pt idx="31">
                  <c:v>0.27476680896966921</c:v>
                </c:pt>
                <c:pt idx="32">
                  <c:v>0.27505254307783639</c:v>
                </c:pt>
                <c:pt idx="33">
                  <c:v>0.27536498849243768</c:v>
                </c:pt>
                <c:pt idx="34">
                  <c:v>0.27570665914149839</c:v>
                </c:pt>
                <c:pt idx="35">
                  <c:v>0.27608030878022616</c:v>
                </c:pt>
                <c:pt idx="36">
                  <c:v>0.27648895448113525</c:v>
                </c:pt>
                <c:pt idx="37">
                  <c:v>0.2769359025373555</c:v>
                </c:pt>
                <c:pt idx="38">
                  <c:v>0.27742477704750806</c:v>
                </c:pt>
                <c:pt idx="39">
                  <c:v>0.27795955148290363</c:v>
                </c:pt>
                <c:pt idx="40">
                  <c:v>0.27854458357567435</c:v>
                </c:pt>
                <c:pt idx="41">
                  <c:v>0.27918465390865932</c:v>
                </c:pt>
                <c:pt idx="42">
                  <c:v>0.2798850086371239</c:v>
                </c:pt>
                <c:pt idx="43">
                  <c:v>0.28065140682741985</c:v>
                </c:pt>
                <c:pt idx="44">
                  <c:v>0.28149017296114187</c:v>
                </c:pt>
                <c:pt idx="45">
                  <c:v>0.28240825522537227</c:v>
                </c:pt>
                <c:pt idx="46">
                  <c:v>0.28341329029225398</c:v>
                </c:pt>
                <c:pt idx="47">
                  <c:v>0.28451367538491074</c:v>
                </c:pt>
                <c:pt idx="48">
                  <c:v>0.28571864853408513</c:v>
                </c:pt>
                <c:pt idx="49">
                  <c:v>0.28703837805216109</c:v>
                </c:pt>
                <c:pt idx="50">
                  <c:v>0.28848406239018803</c:v>
                </c:pt>
                <c:pt idx="51">
                  <c:v>0.29006804170171724</c:v>
                </c:pt>
                <c:pt idx="52">
                  <c:v>0.29180392261631788</c:v>
                </c:pt>
                <c:pt idx="53">
                  <c:v>0.29370671792797043</c:v>
                </c:pt>
                <c:pt idx="54">
                  <c:v>0.29579300313131818</c:v>
                </c:pt>
                <c:pt idx="55">
                  <c:v>0.29808109199357313</c:v>
                </c:pt>
                <c:pt idx="56">
                  <c:v>0.30059123363344242</c:v>
                </c:pt>
                <c:pt idx="57">
                  <c:v>0.30334583389113218</c:v>
                </c:pt>
                <c:pt idx="58">
                  <c:v>0.30636970411490239</c:v>
                </c:pt>
                <c:pt idx="59">
                  <c:v>0.30969034085731878</c:v>
                </c:pt>
                <c:pt idx="60">
                  <c:v>0.3133382403633907</c:v>
                </c:pt>
                <c:pt idx="61">
                  <c:v>0.31734725213465748</c:v>
                </c:pt>
                <c:pt idx="62">
                  <c:v>0.32175497625467708</c:v>
                </c:pt>
                <c:pt idx="63">
                  <c:v>0.32660320954257455</c:v>
                </c:pt>
                <c:pt idx="64">
                  <c:v>0.33193844593436356</c:v>
                </c:pt>
                <c:pt idx="65">
                  <c:v>0.33781243673845951</c:v>
                </c:pt>
                <c:pt idx="66">
                  <c:v>0.34428281652148135</c:v>
                </c:pt>
                <c:pt idx="67">
                  <c:v>0.35141380028799452</c:v>
                </c:pt>
                <c:pt idx="68">
                  <c:v>0.359276957242463</c:v>
                </c:pt>
                <c:pt idx="69">
                  <c:v>0.36795206566704936</c:v>
                </c:pt>
                <c:pt idx="70">
                  <c:v>0.3775280522061209</c:v>
                </c:pt>
                <c:pt idx="71">
                  <c:v>0.38810401700327463</c:v>
                </c:pt>
                <c:pt idx="72">
                  <c:v>0.39979034358408005</c:v>
                </c:pt>
                <c:pt idx="73">
                  <c:v>0.41270988904476741</c:v>
                </c:pt>
                <c:pt idx="74">
                  <c:v>0.42699924598920719</c:v>
                </c:pt>
                <c:pt idx="75">
                  <c:v>0.44281006286781277</c:v>
                </c:pt>
                <c:pt idx="76">
                  <c:v>0.46031040420966629</c:v>
                </c:pt>
                <c:pt idx="77">
                  <c:v>0.47968612725713128</c:v>
                </c:pt>
                <c:pt idx="78">
                  <c:v>0.5011422475910734</c:v>
                </c:pt>
                <c:pt idx="79">
                  <c:v>0.52490426472282936</c:v>
                </c:pt>
                <c:pt idx="80">
                  <c:v>0.55121942091536258</c:v>
                </c:pt>
                <c:pt idx="81">
                  <c:v>0.58035787446430664</c:v>
                </c:pt>
                <c:pt idx="82">
                  <c:v>0.61261378397822908</c:v>
                </c:pt>
                <c:pt idx="83">
                  <c:v>0.6483063238540856</c:v>
                </c:pt>
                <c:pt idx="84">
                  <c:v>0.68778068280198479</c:v>
                </c:pt>
                <c:pt idx="85">
                  <c:v>0.73140913448573164</c:v>
                </c:pt>
                <c:pt idx="86">
                  <c:v>0.77959230704828109</c:v>
                </c:pt>
                <c:pt idx="87">
                  <c:v>0.83276080891057136</c:v>
                </c:pt>
                <c:pt idx="88">
                  <c:v>0.8913773828071756</c:v>
                </c:pt>
                <c:pt idx="89">
                  <c:v>0.95593975050624513</c:v>
                </c:pt>
                <c:pt idx="90">
                  <c:v>1.0269842730631524</c:v>
                </c:pt>
                <c:pt idx="91">
                  <c:v>1.1050904888136746</c:v>
                </c:pt>
                <c:pt idx="92">
                  <c:v>1.1908865149949794</c:v>
                </c:pt>
                <c:pt idx="93">
                  <c:v>1.2850552268828168</c:v>
                </c:pt>
                <c:pt idx="94">
                  <c:v>1.3883410802287011</c:v>
                </c:pt>
                <c:pt idx="95">
                  <c:v>1.5015574328070203</c:v>
                </c:pt>
                <c:pt idx="96">
                  <c:v>1.6255942520446931</c:v>
                </c:pt>
                <c:pt idx="97">
                  <c:v>1.7614261580327464</c:v>
                </c:pt>
                <c:pt idx="98">
                  <c:v>1.9101208255335931</c:v>
                </c:pt>
                <c:pt idx="99">
                  <c:v>2.0728478343054455</c:v>
                </c:pt>
                <c:pt idx="100">
                  <c:v>2.2508881001124204</c:v>
                </c:pt>
                <c:pt idx="101">
                  <c:v>2.4456440358459206</c:v>
                </c:pt>
                <c:pt idx="102">
                  <c:v>2.6586505894252941</c:v>
                </c:pt>
                <c:pt idx="103">
                  <c:v>2.8915872931903484</c:v>
                </c:pt>
                <c:pt idx="104">
                  <c:v>3.1462914478996709</c:v>
                </c:pt>
                <c:pt idx="105">
                  <c:v>3.4247725585875277</c:v>
                </c:pt>
                <c:pt idx="106">
                  <c:v>3.7292281405625372</c:v>
                </c:pt>
                <c:pt idx="107">
                  <c:v>4.0620610204485788</c:v>
                </c:pt>
                <c:pt idx="108">
                  <c:v>4.4258982674933378</c:v>
                </c:pt>
                <c:pt idx="109">
                  <c:v>4.8236119030000699</c:v>
                </c:pt>
                <c:pt idx="110">
                  <c:v>5.25834154995652</c:v>
                </c:pt>
                <c:pt idx="111">
                  <c:v>5.7335192005133404</c:v>
                </c:pt>
                <c:pt idx="112">
                  <c:v>6.2528962959200127</c:v>
                </c:pt>
                <c:pt idx="113">
                  <c:v>6.8205733319745576</c:v>
                </c:pt>
                <c:pt idx="114">
                  <c:v>7.4410322231344912</c:v>
                </c:pt>
                <c:pt idx="115">
                  <c:v>8.119171680337077</c:v>
                </c:pt>
                <c:pt idx="116">
                  <c:v>8.8603458814666638</c:v>
                </c:pt>
                <c:pt idx="117">
                  <c:v>9.6704067394798834</c:v>
                </c:pt>
                <c:pt idx="118">
                  <c:v>10.555750101665716</c:v>
                </c:pt>
                <c:pt idx="119">
                  <c:v>11.523366244604551</c:v>
                </c:pt>
                <c:pt idx="120">
                  <c:v>12.580895063346954</c:v>
                </c:pt>
                <c:pt idx="121">
                  <c:v>13.736686390428085</c:v>
                </c:pt>
                <c:pt idx="122">
                  <c:v>14.999865920862897</c:v>
                </c:pt>
                <c:pt idx="123">
                  <c:v>16.380407263550694</c:v>
                </c:pt>
                <c:pt idx="124">
                  <c:v>17.889210687906893</c:v>
                </c:pt>
                <c:pt idx="125">
                  <c:v>19.538189187416524</c:v>
                </c:pt>
                <c:pt idx="126">
                  <c:v>21.34036253958773</c:v>
                </c:pt>
                <c:pt idx="127">
                  <c:v>23.309960104929317</c:v>
                </c:pt>
                <c:pt idx="128">
                  <c:v>25.46253317658476</c:v>
                </c:pt>
                <c:pt idx="129">
                  <c:v>27.815077767670005</c:v>
                </c:pt>
                <c:pt idx="130">
                  <c:v>30.386168805780457</c:v>
                </c:pt>
                <c:pt idx="131">
                  <c:v>33.196106794203899</c:v>
                </c:pt>
                <c:pt idx="132">
                  <c:v>36.267078097812785</c:v>
                </c:pt>
                <c:pt idx="133">
                  <c:v>39.623330119188552</c:v>
                </c:pt>
                <c:pt idx="134">
                  <c:v>43.291362748100937</c:v>
                </c:pt>
                <c:pt idx="135">
                  <c:v>47.300137595957139</c:v>
                </c:pt>
                <c:pt idx="136">
                  <c:v>51.681306667261168</c:v>
                </c:pt>
                <c:pt idx="137">
                  <c:v>56.469462273593955</c:v>
                </c:pt>
                <c:pt idx="138">
                  <c:v>61.70241016334969</c:v>
                </c:pt>
                <c:pt idx="139">
                  <c:v>67.421468023769421</c:v>
                </c:pt>
                <c:pt idx="140">
                  <c:v>73.671791712144838</c:v>
                </c:pt>
                <c:pt idx="141">
                  <c:v>80.502731792007125</c:v>
                </c:pt>
                <c:pt idx="142">
                  <c:v>87.968223189393925</c:v>
                </c:pt>
                <c:pt idx="143">
                  <c:v>96.12721104579434</c:v>
                </c:pt>
              </c:numCache>
            </c:numRef>
          </c:yVal>
          <c:smooth val="0"/>
          <c:extLst>
            <c:ext xmlns:c16="http://schemas.microsoft.com/office/drawing/2014/chart" uri="{C3380CC4-5D6E-409C-BE32-E72D297353CC}">
              <c16:uniqueId val="{00000001-D23E-4514-BF87-315A1D3D1BCE}"/>
            </c:ext>
          </c:extLst>
        </c:ser>
        <c:dLbls>
          <c:showLegendKey val="0"/>
          <c:showVal val="0"/>
          <c:showCatName val="0"/>
          <c:showSerName val="0"/>
          <c:showPercent val="0"/>
          <c:showBubbleSize val="0"/>
        </c:dLbls>
        <c:axId val="217629624"/>
        <c:axId val="217628448"/>
      </c:scatterChart>
      <c:valAx>
        <c:axId val="217629624"/>
        <c:scaling>
          <c:logBase val="10"/>
          <c:orientation val="minMax"/>
        </c:scaling>
        <c:delete val="0"/>
        <c:axPos val="b"/>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Frequency (Hz)</a:t>
                </a:r>
              </a:p>
            </c:rich>
          </c:tx>
          <c:layout>
            <c:manualLayout>
              <c:xMode val="edge"/>
              <c:yMode val="edge"/>
              <c:x val="0.43204858514600969"/>
              <c:y val="0.90884713278741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7628448"/>
        <c:crosses val="autoZero"/>
        <c:crossBetween val="midCat"/>
      </c:valAx>
      <c:valAx>
        <c:axId val="21762844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Reistance/meter (ohms/meter)</a:t>
                </a:r>
              </a:p>
            </c:rich>
          </c:tx>
          <c:layout>
            <c:manualLayout>
              <c:xMode val="edge"/>
              <c:yMode val="edge"/>
              <c:x val="4.2596393407896879E-2"/>
              <c:y val="0.2386059268707003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7629624"/>
        <c:crosses val="autoZero"/>
        <c:crossBetween val="midCat"/>
      </c:valAx>
      <c:spPr>
        <a:noFill/>
        <a:ln w="12700">
          <a:solidFill>
            <a:srgbClr val="808080"/>
          </a:solidFill>
          <a:prstDash val="solid"/>
        </a:ln>
      </c:spPr>
    </c:plotArea>
    <c:legend>
      <c:legendPos val="r"/>
      <c:layout>
        <c:manualLayout>
          <c:xMode val="edge"/>
          <c:yMode val="edge"/>
          <c:x val="0.19269773677490906"/>
          <c:y val="0.17694378446101144"/>
          <c:w val="0.26369158371627011"/>
          <c:h val="0.10991969208715918"/>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75"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Coax cable metal resistance per meter
Both axes on linear scales</a:t>
            </a:r>
          </a:p>
        </c:rich>
      </c:tx>
      <c:layout>
        <c:manualLayout>
          <c:xMode val="edge"/>
          <c:yMode val="edge"/>
          <c:x val="0.27991888268485016"/>
          <c:y val="1.8766824874571791E-2"/>
        </c:manualLayout>
      </c:layout>
      <c:overlay val="0"/>
      <c:spPr>
        <a:noFill/>
        <a:ln w="25400">
          <a:noFill/>
        </a:ln>
      </c:spPr>
    </c:title>
    <c:autoTitleDeleted val="0"/>
    <c:plotArea>
      <c:layout>
        <c:manualLayout>
          <c:layoutTarget val="inner"/>
          <c:xMode val="edge"/>
          <c:yMode val="edge"/>
          <c:x val="0.13995943204868155"/>
          <c:y val="0.15281501340482573"/>
          <c:w val="0.77484787018255574"/>
          <c:h val="0.67560321715817695"/>
        </c:manualLayout>
      </c:layout>
      <c:scatterChart>
        <c:scatterStyle val="lineMarker"/>
        <c:varyColors val="0"/>
        <c:ser>
          <c:idx val="0"/>
          <c:order val="0"/>
          <c:tx>
            <c:v>Outside jacket</c:v>
          </c:tx>
          <c:spPr>
            <a:ln w="12700">
              <a:solidFill>
                <a:srgbClr val="00008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Calcs!$O$13:$O$157</c:f>
              <c:numCache>
                <c:formatCode>0.00E+00</c:formatCode>
                <c:ptCount val="145"/>
                <c:pt idx="0">
                  <c:v>4.0002436776374224E-2</c:v>
                </c:pt>
                <c:pt idx="1">
                  <c:v>4.0042359083218571E-2</c:v>
                </c:pt>
                <c:pt idx="2">
                  <c:v>4.0046068992051272E-2</c:v>
                </c:pt>
                <c:pt idx="3">
                  <c:v>4.0050123798137438E-2</c:v>
                </c:pt>
                <c:pt idx="4">
                  <c:v>4.0054555593089639E-2</c:v>
                </c:pt>
                <c:pt idx="5">
                  <c:v>4.0059399459407757E-2</c:v>
                </c:pt>
                <c:pt idx="6">
                  <c:v>4.0064693751852808E-2</c:v>
                </c:pt>
                <c:pt idx="7">
                  <c:v>4.00704804018292E-2</c:v>
                </c:pt>
                <c:pt idx="8">
                  <c:v>4.0076805253582572E-2</c:v>
                </c:pt>
                <c:pt idx="9">
                  <c:v>4.0083718431104504E-2</c:v>
                </c:pt>
                <c:pt idx="10">
                  <c:v>4.0091274739588616E-2</c:v>
                </c:pt>
                <c:pt idx="11">
                  <c:v>4.009953410511051E-2</c:v>
                </c:pt>
                <c:pt idx="12">
                  <c:v>4.0108562055925036E-2</c:v>
                </c:pt>
                <c:pt idx="13">
                  <c:v>4.0118430250341085E-2</c:v>
                </c:pt>
                <c:pt idx="14">
                  <c:v>4.0129217054141061E-2</c:v>
                </c:pt>
                <c:pt idx="15">
                  <c:v>4.0141008173388892E-2</c:v>
                </c:pt>
                <c:pt idx="16">
                  <c:v>4.0153897348485623E-2</c:v>
                </c:pt>
                <c:pt idx="17">
                  <c:v>4.0167987114366956E-2</c:v>
                </c:pt>
                <c:pt idx="18">
                  <c:v>4.0183389634531337E-2</c:v>
                </c:pt>
                <c:pt idx="19">
                  <c:v>4.0200227615443958E-2</c:v>
                </c:pt>
                <c:pt idx="20">
                  <c:v>4.021863531016337E-2</c:v>
                </c:pt>
                <c:pt idx="21">
                  <c:v>4.0238759619602979E-2</c:v>
                </c:pt>
                <c:pt idx="22">
                  <c:v>4.0260761301832253E-2</c:v>
                </c:pt>
                <c:pt idx="23">
                  <c:v>4.028481630041611E-2</c:v>
                </c:pt>
                <c:pt idx="24">
                  <c:v>4.0311117204011038E-2</c:v>
                </c:pt>
                <c:pt idx="25">
                  <c:v>4.0339874851239792E-2</c:v>
                </c:pt>
                <c:pt idx="26">
                  <c:v>4.0371320095991661E-2</c:v>
                </c:pt>
                <c:pt idx="27">
                  <c:v>4.0405705750264809E-2</c:v>
                </c:pt>
                <c:pt idx="28">
                  <c:v>4.0443308723891819E-2</c:v>
                </c:pt>
                <c:pt idx="29">
                  <c:v>4.0484432382391085E-2</c:v>
                </c:pt>
                <c:pt idx="30">
                  <c:v>4.0529409147091681E-2</c:v>
                </c:pt>
                <c:pt idx="31">
                  <c:v>4.0578603364586942E-2</c:v>
                </c:pt>
                <c:pt idx="32">
                  <c:v>4.0632414475877857E-2</c:v>
                </c:pt>
                <c:pt idx="33">
                  <c:v>4.0691280519564436E-2</c:v>
                </c:pt>
                <c:pt idx="34">
                  <c:v>4.0755682007810691E-2</c:v>
                </c:pt>
                <c:pt idx="35">
                  <c:v>4.0826146218939666E-2</c:v>
                </c:pt>
                <c:pt idx="36">
                  <c:v>4.0903251956407601E-2</c:v>
                </c:pt>
                <c:pt idx="37">
                  <c:v>4.0987634830645381E-2</c:v>
                </c:pt>
                <c:pt idx="38">
                  <c:v>4.1079993128082151E-2</c:v>
                </c:pt>
                <c:pt idx="39">
                  <c:v>4.1181094340727017E-2</c:v>
                </c:pt>
                <c:pt idx="40">
                  <c:v>4.1291782440141547E-2</c:v>
                </c:pt>
                <c:pt idx="41">
                  <c:v>4.14129859918125E-2</c:v>
                </c:pt>
                <c:pt idx="42">
                  <c:v>4.154572722008807E-2</c:v>
                </c:pt>
                <c:pt idx="43">
                  <c:v>4.1691132150300049E-2</c:v>
                </c:pt>
                <c:pt idx="44">
                  <c:v>4.1850441973895168E-2</c:v>
                </c:pt>
                <c:pt idx="45">
                  <c:v>4.2025025804852706E-2</c:v>
                </c:pt>
                <c:pt idx="46">
                  <c:v>4.2216395021837751E-2</c:v>
                </c:pt>
                <c:pt idx="47">
                  <c:v>4.2426219421217083E-2</c:v>
                </c:pt>
                <c:pt idx="48">
                  <c:v>4.2656345441961487E-2</c:v>
                </c:pt>
                <c:pt idx="49">
                  <c:v>4.290881676550197E-2</c:v>
                </c:pt>
                <c:pt idx="50">
                  <c:v>4.3185897642876621E-2</c:v>
                </c:pt>
                <c:pt idx="51">
                  <c:v>4.3490099359239309E-2</c:v>
                </c:pt>
                <c:pt idx="52">
                  <c:v>4.382421031342152E-2</c:v>
                </c:pt>
                <c:pt idx="53">
                  <c:v>4.4191330269394341E-2</c:v>
                </c:pt>
                <c:pt idx="54">
                  <c:v>4.4594909429005972E-2</c:v>
                </c:pt>
                <c:pt idx="55">
                  <c:v>4.5038793083352367E-2</c:v>
                </c:pt>
                <c:pt idx="56">
                  <c:v>4.5527272725828474E-2</c:v>
                </c:pt>
                <c:pt idx="57">
                  <c:v>4.6065144655706852E-2</c:v>
                </c:pt>
                <c:pt idx="58">
                  <c:v>4.6657777269461735E-2</c:v>
                </c:pt>
                <c:pt idx="59">
                  <c:v>4.7311188430326258E-2</c:v>
                </c:pt>
                <c:pt idx="60">
                  <c:v>4.8032134526686622E-2</c:v>
                </c:pt>
                <c:pt idx="61">
                  <c:v>4.8828213078014882E-2</c:v>
                </c:pt>
                <c:pt idx="62">
                  <c:v>4.9707981022814519E-2</c:v>
                </c:pt>
                <c:pt idx="63">
                  <c:v>5.0681091123828549E-2</c:v>
                </c:pt>
                <c:pt idx="64">
                  <c:v>5.175844924514407E-2</c:v>
                </c:pt>
                <c:pt idx="65">
                  <c:v>5.2952395581856444E-2</c:v>
                </c:pt>
                <c:pt idx="66">
                  <c:v>5.4276913235484316E-2</c:v>
                </c:pt>
                <c:pt idx="67">
                  <c:v>5.5747867795589504E-2</c:v>
                </c:pt>
                <c:pt idx="68">
                  <c:v>5.7383281762198174E-2</c:v>
                </c:pt>
                <c:pt idx="69">
                  <c:v>5.9203647655145859E-2</c:v>
                </c:pt>
                <c:pt idx="70">
                  <c:v>6.1232283407819374E-2</c:v>
                </c:pt>
                <c:pt idx="71">
                  <c:v>6.3495733001572782E-2</c:v>
                </c:pt>
                <c:pt idx="72">
                  <c:v>6.6024214090559738E-2</c:v>
                </c:pt>
                <c:pt idx="73">
                  <c:v>6.8852112379803876E-2</c:v>
                </c:pt>
                <c:pt idx="74">
                  <c:v>7.2018519501370351E-2</c:v>
                </c:pt>
                <c:pt idx="75">
                  <c:v>7.5567806820824743E-2</c:v>
                </c:pt>
                <c:pt idx="76">
                  <c:v>7.9550221771312851E-2</c:v>
                </c:pt>
                <c:pt idx="77">
                  <c:v>8.4022485854188853E-2</c:v>
                </c:pt>
                <c:pt idx="78">
                  <c:v>8.904836453290095E-2</c:v>
                </c:pt>
                <c:pt idx="79">
                  <c:v>9.4699169530935212E-2</c:v>
                </c:pt>
                <c:pt idx="80">
                  <c:v>0.10105414491936716</c:v>
                </c:pt>
                <c:pt idx="81">
                  <c:v>0.10820068225230489</c:v>
                </c:pt>
                <c:pt idx="82">
                  <c:v>0.11623431045584436</c:v>
                </c:pt>
                <c:pt idx="83">
                  <c:v>0.12525841777990962</c:v>
                </c:pt>
                <c:pt idx="84">
                  <c:v>0.13538369069725611</c:v>
                </c:pt>
                <c:pt idx="85">
                  <c:v>0.14672730156889391</c:v>
                </c:pt>
                <c:pt idx="86">
                  <c:v>0.15941194255505398</c:v>
                </c:pt>
                <c:pt idx="87">
                  <c:v>0.17356487994508232</c:v>
                </c:pt>
                <c:pt idx="88">
                  <c:v>0.18931727396957373</c:v>
                </c:pt>
                <c:pt idx="89">
                  <c:v>0.20680404926272389</c:v>
                </c:pt>
                <c:pt idx="90">
                  <c:v>0.22616458350379795</c:v>
                </c:pt>
                <c:pt idx="91">
                  <c:v>0.24754438893407948</c:v>
                </c:pt>
                <c:pt idx="92">
                  <c:v>0.27109779869763945</c:v>
                </c:pt>
                <c:pt idx="93">
                  <c:v>0.29699147285957933</c:v>
                </c:pt>
                <c:pt idx="94">
                  <c:v>0.32540836750320423</c:v>
                </c:pt>
                <c:pt idx="95">
                  <c:v>0.3565517274801015</c:v>
                </c:pt>
                <c:pt idx="96">
                  <c:v>0.3906487060927985</c:v>
                </c:pt>
                <c:pt idx="97">
                  <c:v>0.4279533730151272</c:v>
                </c:pt>
                <c:pt idx="98">
                  <c:v>0.46874908867064491</c:v>
                </c:pt>
                <c:pt idx="99">
                  <c:v>0.51335042120014118</c:v>
                </c:pt>
                <c:pt idx="100">
                  <c:v>0.56210489743887104</c:v>
                </c:pt>
                <c:pt idx="101">
                  <c:v>0.61539488954483579</c:v>
                </c:pt>
                <c:pt idx="102">
                  <c:v>0.6736398667526432</c:v>
                </c:pt>
                <c:pt idx="103">
                  <c:v>0.73729913629233856</c:v>
                </c:pt>
                <c:pt idx="104">
                  <c:v>0.80687510641529125</c:v>
                </c:pt>
                <c:pt idx="105">
                  <c:v>0.88291705339772342</c:v>
                </c:pt>
                <c:pt idx="106">
                  <c:v>0.96602536344412626</c:v>
                </c:pt>
                <c:pt idx="107">
                  <c:v>1.0568562342565755</c:v>
                </c:pt>
                <c:pt idx="108">
                  <c:v>1.1561268425943581</c:v>
                </c:pt>
                <c:pt idx="109">
                  <c:v>1.2646210029327074</c:v>
                </c:pt>
                <c:pt idx="110">
                  <c:v>1.3831953553350538</c:v>
                </c:pt>
                <c:pt idx="111">
                  <c:v>1.5127861291330398</c:v>
                </c:pt>
                <c:pt idx="112">
                  <c:v>1.6544165351780518</c:v>
                </c:pt>
                <c:pt idx="113">
                  <c:v>1.8092048448850269</c:v>
                </c:pt>
                <c:pt idx="114">
                  <c:v>1.9783732198329111</c:v>
                </c:pt>
                <c:pt idx="115">
                  <c:v>2.163257361635742</c:v>
                </c:pt>
                <c:pt idx="116">
                  <c:v>2.3653170582782761</c:v>
                </c:pt>
                <c:pt idx="117">
                  <c:v>2.5861477101884187</c:v>
                </c:pt>
                <c:pt idx="118">
                  <c:v>2.8274929270541627</c:v>
                </c:pt>
                <c:pt idx="119">
                  <c:v>3.0912582948467833</c:v>
                </c:pt>
                <c:pt idx="120">
                  <c:v>3.3795264217513914</c:v>
                </c:pt>
                <c:pt idx="121">
                  <c:v>3.694573381803659</c:v>
                </c:pt>
                <c:pt idx="122">
                  <c:v>4.0388866860671895</c:v>
                </c:pt>
                <c:pt idx="123">
                  <c:v>4.4151849232468958</c:v>
                </c:pt>
                <c:pt idx="124">
                  <c:v>4.8264392248149406</c:v>
                </c:pt>
                <c:pt idx="125">
                  <c:v>5.275896724131548</c:v>
                </c:pt>
                <c:pt idx="126">
                  <c:v>5.7671061947867619</c:v>
                </c:pt>
                <c:pt idx="127">
                  <c:v>6.3039460705957175</c:v>
                </c:pt>
                <c:pt idx="128">
                  <c:v>6.8906550684846257</c:v>
                </c:pt>
                <c:pt idx="129">
                  <c:v>7.5318656560562873</c:v>
                </c:pt>
                <c:pt idx="130">
                  <c:v>8.2326406280845408</c:v>
                </c:pt>
                <c:pt idx="131">
                  <c:v>8.9985130807342006</c:v>
                </c:pt>
                <c:pt idx="132">
                  <c:v>9.8355300991303043</c:v>
                </c:pt>
                <c:pt idx="133">
                  <c:v>10.750300503219906</c:v>
                </c:pt>
                <c:pt idx="134">
                  <c:v>11.75004702891272</c:v>
                </c:pt>
                <c:pt idx="135">
                  <c:v>12.842663356506232</c:v>
                </c:pt>
                <c:pt idx="136">
                  <c:v>14.03677643667379</c:v>
                </c:pt>
                <c:pt idx="137">
                  <c:v>15.341814606121723</c:v>
                </c:pt>
                <c:pt idx="138">
                  <c:v>16.768082030735222</c:v>
                </c:pt>
                <c:pt idx="139">
                  <c:v>18.326840063992314</c:v>
                </c:pt>
                <c:pt idx="140">
                  <c:v>20.030396163026111</c:v>
                </c:pt>
                <c:pt idx="141">
                  <c:v>21.892201064388285</c:v>
                </c:pt>
                <c:pt idx="142">
                  <c:v>23.926954986782729</c:v>
                </c:pt>
                <c:pt idx="143">
                  <c:v>26.150723699312238</c:v>
                </c:pt>
                <c:pt idx="144">
                  <c:v>28.581065371676381</c:v>
                </c:pt>
              </c:numCache>
            </c:numRef>
          </c:yVal>
          <c:smooth val="0"/>
          <c:extLst>
            <c:ext xmlns:c16="http://schemas.microsoft.com/office/drawing/2014/chart" uri="{C3380CC4-5D6E-409C-BE32-E72D297353CC}">
              <c16:uniqueId val="{00000000-7063-4FB3-9B2A-1229DB6F058A}"/>
            </c:ext>
          </c:extLst>
        </c:ser>
        <c:ser>
          <c:idx val="1"/>
          <c:order val="1"/>
          <c:tx>
            <c:v>Center conductor</c:v>
          </c:tx>
          <c:spPr>
            <a:ln w="12700">
              <a:solidFill>
                <a:srgbClr val="FF00FF"/>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Calcs!$P$13:$P$157</c:f>
              <c:numCache>
                <c:formatCode>0.00E+00</c:formatCode>
                <c:ptCount val="145"/>
                <c:pt idx="0">
                  <c:v>0.27170022427830703</c:v>
                </c:pt>
                <c:pt idx="1">
                  <c:v>0.27189503214200833</c:v>
                </c:pt>
                <c:pt idx="2">
                  <c:v>0.27191313200800798</c:v>
                </c:pt>
                <c:pt idx="3">
                  <c:v>0.27193291389853319</c:v>
                </c:pt>
                <c:pt idx="4">
                  <c:v>0.27195453422627347</c:v>
                </c:pt>
                <c:pt idx="5">
                  <c:v>0.27197816391612628</c:v>
                </c:pt>
                <c:pt idx="6">
                  <c:v>0.27200398980908319</c:v>
                </c:pt>
                <c:pt idx="7">
                  <c:v>0.27203221615598805</c:v>
                </c:pt>
                <c:pt idx="8">
                  <c:v>0.27206306621037174</c:v>
                </c:pt>
                <c:pt idx="9">
                  <c:v>0.27209678402160203</c:v>
                </c:pt>
                <c:pt idx="10">
                  <c:v>0.27213363637420457</c:v>
                </c:pt>
                <c:pt idx="11">
                  <c:v>0.27217391490703152</c:v>
                </c:pt>
                <c:pt idx="12">
                  <c:v>0.27221793844748282</c:v>
                </c:pt>
                <c:pt idx="13">
                  <c:v>0.27226605553812155</c:v>
                </c:pt>
                <c:pt idx="14">
                  <c:v>0.27231864723379023</c:v>
                </c:pt>
                <c:pt idx="15">
                  <c:v>0.27237613013796369</c:v>
                </c:pt>
                <c:pt idx="16">
                  <c:v>0.272438959736443</c:v>
                </c:pt>
                <c:pt idx="17">
                  <c:v>0.27250763404822581</c:v>
                </c:pt>
                <c:pt idx="18">
                  <c:v>0.27258269761225778</c:v>
                </c:pt>
                <c:pt idx="19">
                  <c:v>0.27266474586527356</c:v>
                </c:pt>
                <c:pt idx="20">
                  <c:v>0.27275442992884086</c:v>
                </c:pt>
                <c:pt idx="21">
                  <c:v>0.2728524618527905</c:v>
                </c:pt>
                <c:pt idx="22">
                  <c:v>0.27295962036325255</c:v>
                </c:pt>
                <c:pt idx="23">
                  <c:v>0.27307675715848667</c:v>
                </c:pt>
                <c:pt idx="24">
                  <c:v>0.2732048038095205</c:v>
                </c:pt>
                <c:pt idx="25">
                  <c:v>0.27334477932753554</c:v>
                </c:pt>
                <c:pt idx="26">
                  <c:v>0.27349779846133115</c:v>
                </c:pt>
                <c:pt idx="27">
                  <c:v>0.27366508079825802</c:v>
                </c:pt>
                <c:pt idx="28">
                  <c:v>0.27384796075294227</c:v>
                </c:pt>
                <c:pt idx="29">
                  <c:v>0.27404789853062073</c:v>
                </c:pt>
                <c:pt idx="30">
                  <c:v>0.27426649216652194</c:v>
                </c:pt>
                <c:pt idx="31">
                  <c:v>0.27450549075187325</c:v>
                </c:pt>
                <c:pt idx="32">
                  <c:v>0.27476680896966921</c:v>
                </c:pt>
                <c:pt idx="33">
                  <c:v>0.27505254307783639</c:v>
                </c:pt>
                <c:pt idx="34">
                  <c:v>0.27536498849243768</c:v>
                </c:pt>
                <c:pt idx="35">
                  <c:v>0.27570665914149839</c:v>
                </c:pt>
                <c:pt idx="36">
                  <c:v>0.27608030878022616</c:v>
                </c:pt>
                <c:pt idx="37">
                  <c:v>0.27648895448113525</c:v>
                </c:pt>
                <c:pt idx="38">
                  <c:v>0.2769359025373555</c:v>
                </c:pt>
                <c:pt idx="39">
                  <c:v>0.27742477704750806</c:v>
                </c:pt>
                <c:pt idx="40">
                  <c:v>0.27795955148290363</c:v>
                </c:pt>
                <c:pt idx="41">
                  <c:v>0.27854458357567435</c:v>
                </c:pt>
                <c:pt idx="42">
                  <c:v>0.27918465390865932</c:v>
                </c:pt>
                <c:pt idx="43">
                  <c:v>0.2798850086371239</c:v>
                </c:pt>
                <c:pt idx="44">
                  <c:v>0.28065140682741985</c:v>
                </c:pt>
                <c:pt idx="45">
                  <c:v>0.28149017296114187</c:v>
                </c:pt>
                <c:pt idx="46">
                  <c:v>0.28240825522537227</c:v>
                </c:pt>
                <c:pt idx="47">
                  <c:v>0.28341329029225398</c:v>
                </c:pt>
                <c:pt idx="48">
                  <c:v>0.28451367538491074</c:v>
                </c:pt>
                <c:pt idx="49">
                  <c:v>0.28571864853408513</c:v>
                </c:pt>
                <c:pt idx="50">
                  <c:v>0.28703837805216109</c:v>
                </c:pt>
                <c:pt idx="51">
                  <c:v>0.28848406239018803</c:v>
                </c:pt>
                <c:pt idx="52">
                  <c:v>0.29006804170171724</c:v>
                </c:pt>
                <c:pt idx="53">
                  <c:v>0.29180392261631788</c:v>
                </c:pt>
                <c:pt idx="54">
                  <c:v>0.29370671792797043</c:v>
                </c:pt>
                <c:pt idx="55">
                  <c:v>0.29579300313131818</c:v>
                </c:pt>
                <c:pt idx="56">
                  <c:v>0.29808109199357313</c:v>
                </c:pt>
                <c:pt idx="57">
                  <c:v>0.30059123363344242</c:v>
                </c:pt>
                <c:pt idx="58">
                  <c:v>0.30334583389113218</c:v>
                </c:pt>
                <c:pt idx="59">
                  <c:v>0.30636970411490239</c:v>
                </c:pt>
                <c:pt idx="60">
                  <c:v>0.30969034085731878</c:v>
                </c:pt>
                <c:pt idx="61">
                  <c:v>0.3133382403633907</c:v>
                </c:pt>
                <c:pt idx="62">
                  <c:v>0.31734725213465748</c:v>
                </c:pt>
                <c:pt idx="63">
                  <c:v>0.32175497625467708</c:v>
                </c:pt>
                <c:pt idx="64">
                  <c:v>0.32660320954257455</c:v>
                </c:pt>
                <c:pt idx="65">
                  <c:v>0.33193844593436356</c:v>
                </c:pt>
                <c:pt idx="66">
                  <c:v>0.33781243673845951</c:v>
                </c:pt>
                <c:pt idx="67">
                  <c:v>0.34428281652148135</c:v>
                </c:pt>
                <c:pt idx="68">
                  <c:v>0.35141380028799452</c:v>
                </c:pt>
                <c:pt idx="69">
                  <c:v>0.359276957242463</c:v>
                </c:pt>
                <c:pt idx="70">
                  <c:v>0.36795206566704936</c:v>
                </c:pt>
                <c:pt idx="71">
                  <c:v>0.3775280522061209</c:v>
                </c:pt>
                <c:pt idx="72">
                  <c:v>0.38810401700327463</c:v>
                </c:pt>
                <c:pt idx="73">
                  <c:v>0.39979034358408005</c:v>
                </c:pt>
                <c:pt idx="74">
                  <c:v>0.41270988904476741</c:v>
                </c:pt>
                <c:pt idx="75">
                  <c:v>0.42699924598920719</c:v>
                </c:pt>
                <c:pt idx="76">
                  <c:v>0.44281006286781277</c:v>
                </c:pt>
                <c:pt idx="77">
                  <c:v>0.46031040420966629</c:v>
                </c:pt>
                <c:pt idx="78">
                  <c:v>0.47968612725713128</c:v>
                </c:pt>
                <c:pt idx="79">
                  <c:v>0.5011422475910734</c:v>
                </c:pt>
                <c:pt idx="80">
                  <c:v>0.52490426472282936</c:v>
                </c:pt>
                <c:pt idx="81">
                  <c:v>0.55121942091536258</c:v>
                </c:pt>
                <c:pt idx="82">
                  <c:v>0.58035787446430664</c:v>
                </c:pt>
                <c:pt idx="83">
                  <c:v>0.61261378397822908</c:v>
                </c:pt>
                <c:pt idx="84">
                  <c:v>0.6483063238540856</c:v>
                </c:pt>
                <c:pt idx="85">
                  <c:v>0.68778068280198479</c:v>
                </c:pt>
                <c:pt idx="86">
                  <c:v>0.73140913448573164</c:v>
                </c:pt>
                <c:pt idx="87">
                  <c:v>0.77959230704828109</c:v>
                </c:pt>
                <c:pt idx="88">
                  <c:v>0.83276080891057136</c:v>
                </c:pt>
                <c:pt idx="89">
                  <c:v>0.8913773828071756</c:v>
                </c:pt>
                <c:pt idx="90">
                  <c:v>0.95593975050624513</c:v>
                </c:pt>
                <c:pt idx="91">
                  <c:v>1.0269842730631524</c:v>
                </c:pt>
                <c:pt idx="92">
                  <c:v>1.1050904888136746</c:v>
                </c:pt>
                <c:pt idx="93">
                  <c:v>1.1908865149949794</c:v>
                </c:pt>
                <c:pt idx="94">
                  <c:v>1.2850552268828168</c:v>
                </c:pt>
                <c:pt idx="95">
                  <c:v>1.3883410802287011</c:v>
                </c:pt>
                <c:pt idx="96">
                  <c:v>1.5015574328070203</c:v>
                </c:pt>
                <c:pt idx="97">
                  <c:v>1.6255942520446931</c:v>
                </c:pt>
                <c:pt idx="98">
                  <c:v>1.7614261580327464</c:v>
                </c:pt>
                <c:pt idx="99">
                  <c:v>1.9101208255335931</c:v>
                </c:pt>
                <c:pt idx="100">
                  <c:v>2.0728478343054455</c:v>
                </c:pt>
                <c:pt idx="101">
                  <c:v>2.2508881001124204</c:v>
                </c:pt>
                <c:pt idx="102">
                  <c:v>2.4456440358459206</c:v>
                </c:pt>
                <c:pt idx="103">
                  <c:v>2.6586505894252941</c:v>
                </c:pt>
                <c:pt idx="104">
                  <c:v>2.8915872931903484</c:v>
                </c:pt>
                <c:pt idx="105">
                  <c:v>3.1462914478996709</c:v>
                </c:pt>
                <c:pt idx="106">
                  <c:v>3.4247725585875277</c:v>
                </c:pt>
                <c:pt idx="107">
                  <c:v>3.7292281405625372</c:v>
                </c:pt>
                <c:pt idx="108">
                  <c:v>4.0620610204485788</c:v>
                </c:pt>
                <c:pt idx="109">
                  <c:v>4.4258982674933378</c:v>
                </c:pt>
                <c:pt idx="110">
                  <c:v>4.8236119030000699</c:v>
                </c:pt>
                <c:pt idx="111">
                  <c:v>5.25834154995652</c:v>
                </c:pt>
                <c:pt idx="112">
                  <c:v>5.7335192005133404</c:v>
                </c:pt>
                <c:pt idx="113">
                  <c:v>6.2528962959200127</c:v>
                </c:pt>
                <c:pt idx="114">
                  <c:v>6.8205733319745576</c:v>
                </c:pt>
                <c:pt idx="115">
                  <c:v>7.4410322231344912</c:v>
                </c:pt>
                <c:pt idx="116">
                  <c:v>8.119171680337077</c:v>
                </c:pt>
                <c:pt idx="117">
                  <c:v>8.8603458814666638</c:v>
                </c:pt>
                <c:pt idx="118">
                  <c:v>9.6704067394798834</c:v>
                </c:pt>
                <c:pt idx="119">
                  <c:v>10.555750101665716</c:v>
                </c:pt>
                <c:pt idx="120">
                  <c:v>11.523366244604551</c:v>
                </c:pt>
                <c:pt idx="121">
                  <c:v>12.580895063346954</c:v>
                </c:pt>
                <c:pt idx="122">
                  <c:v>13.736686390428085</c:v>
                </c:pt>
                <c:pt idx="123">
                  <c:v>14.999865920862897</c:v>
                </c:pt>
                <c:pt idx="124">
                  <c:v>16.380407263550694</c:v>
                </c:pt>
                <c:pt idx="125">
                  <c:v>17.889210687906893</c:v>
                </c:pt>
                <c:pt idx="126">
                  <c:v>19.538189187416524</c:v>
                </c:pt>
                <c:pt idx="127">
                  <c:v>21.34036253958773</c:v>
                </c:pt>
                <c:pt idx="128">
                  <c:v>23.309960104929317</c:v>
                </c:pt>
                <c:pt idx="129">
                  <c:v>25.46253317658476</c:v>
                </c:pt>
                <c:pt idx="130">
                  <c:v>27.815077767670005</c:v>
                </c:pt>
                <c:pt idx="131">
                  <c:v>30.386168805780457</c:v>
                </c:pt>
                <c:pt idx="132">
                  <c:v>33.196106794203899</c:v>
                </c:pt>
                <c:pt idx="133">
                  <c:v>36.267078097812785</c:v>
                </c:pt>
                <c:pt idx="134">
                  <c:v>39.623330119188552</c:v>
                </c:pt>
                <c:pt idx="135">
                  <c:v>43.291362748100937</c:v>
                </c:pt>
                <c:pt idx="136">
                  <c:v>47.300137595957139</c:v>
                </c:pt>
                <c:pt idx="137">
                  <c:v>51.681306667261168</c:v>
                </c:pt>
                <c:pt idx="138">
                  <c:v>56.469462273593955</c:v>
                </c:pt>
                <c:pt idx="139">
                  <c:v>61.70241016334969</c:v>
                </c:pt>
                <c:pt idx="140">
                  <c:v>67.421468023769421</c:v>
                </c:pt>
                <c:pt idx="141">
                  <c:v>73.671791712144838</c:v>
                </c:pt>
                <c:pt idx="142">
                  <c:v>80.502731792007125</c:v>
                </c:pt>
                <c:pt idx="143">
                  <c:v>87.968223189393925</c:v>
                </c:pt>
                <c:pt idx="144">
                  <c:v>96.12721104579434</c:v>
                </c:pt>
              </c:numCache>
            </c:numRef>
          </c:yVal>
          <c:smooth val="0"/>
          <c:extLst>
            <c:ext xmlns:c16="http://schemas.microsoft.com/office/drawing/2014/chart" uri="{C3380CC4-5D6E-409C-BE32-E72D297353CC}">
              <c16:uniqueId val="{00000001-7063-4FB3-9B2A-1229DB6F058A}"/>
            </c:ext>
          </c:extLst>
        </c:ser>
        <c:dLbls>
          <c:showLegendKey val="0"/>
          <c:showVal val="0"/>
          <c:showCatName val="0"/>
          <c:showSerName val="0"/>
          <c:showPercent val="0"/>
          <c:showBubbleSize val="0"/>
        </c:dLbls>
        <c:axId val="460316352"/>
        <c:axId val="460316744"/>
      </c:scatterChart>
      <c:valAx>
        <c:axId val="460316352"/>
        <c:scaling>
          <c:orientation val="minMax"/>
        </c:scaling>
        <c:delete val="0"/>
        <c:axPos val="b"/>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Frequency (GHz)</a:t>
                </a:r>
              </a:p>
            </c:rich>
          </c:tx>
          <c:layout>
            <c:manualLayout>
              <c:xMode val="edge"/>
              <c:yMode val="edge"/>
              <c:x val="0.43204858514600969"/>
              <c:y val="0.90884713278741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0316744"/>
        <c:crosses val="autoZero"/>
        <c:crossBetween val="midCat"/>
      </c:valAx>
      <c:valAx>
        <c:axId val="46031674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Reistance/meter (ohms/meter)</a:t>
                </a:r>
              </a:p>
            </c:rich>
          </c:tx>
          <c:layout>
            <c:manualLayout>
              <c:xMode val="edge"/>
              <c:yMode val="edge"/>
              <c:x val="4.2596393407896879E-2"/>
              <c:y val="0.2600537267273537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0316352"/>
        <c:crosses val="autoZero"/>
        <c:crossBetween val="midCat"/>
      </c:valAx>
      <c:spPr>
        <a:noFill/>
        <a:ln w="12700">
          <a:solidFill>
            <a:srgbClr val="808080"/>
          </a:solidFill>
          <a:prstDash val="solid"/>
        </a:ln>
      </c:spPr>
    </c:plotArea>
    <c:legend>
      <c:legendPos val="r"/>
      <c:layout>
        <c:manualLayout>
          <c:xMode val="edge"/>
          <c:yMode val="edge"/>
          <c:x val="0.1947260958690564"/>
          <c:y val="0.18230573442517481"/>
          <c:w val="0.26369158371627011"/>
          <c:h val="0.10991969208715915"/>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75"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Calculated coax cable loss from all sources
Both axes on log scales</a:t>
            </a:r>
          </a:p>
        </c:rich>
      </c:tx>
      <c:layout>
        <c:manualLayout>
          <c:xMode val="edge"/>
          <c:yMode val="edge"/>
          <c:x val="0.25354966853009803"/>
          <c:y val="1.8766728105695022E-2"/>
        </c:manualLayout>
      </c:layout>
      <c:overlay val="0"/>
      <c:spPr>
        <a:noFill/>
        <a:ln w="25400">
          <a:noFill/>
        </a:ln>
      </c:spPr>
    </c:title>
    <c:autoTitleDeleted val="0"/>
    <c:plotArea>
      <c:layout>
        <c:manualLayout>
          <c:layoutTarget val="inner"/>
          <c:xMode val="edge"/>
          <c:yMode val="edge"/>
          <c:x val="0.20283975659229209"/>
          <c:y val="0.1581769436997319"/>
          <c:w val="0.66125760649087217"/>
          <c:h val="0.62466487935656834"/>
        </c:manualLayout>
      </c:layout>
      <c:scatterChart>
        <c:scatterStyle val="smoothMarker"/>
        <c:varyColors val="0"/>
        <c:ser>
          <c:idx val="0"/>
          <c:order val="0"/>
          <c:tx>
            <c:v>Outside conductor</c:v>
          </c:tx>
          <c:spPr>
            <a:ln w="12700">
              <a:solidFill>
                <a:srgbClr val="0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Calcs!$Q$14:$Q$157</c:f>
              <c:numCache>
                <c:formatCode>0.00E+00</c:formatCode>
                <c:ptCount val="144"/>
                <c:pt idx="0">
                  <c:v>3.4680980432269595E-3</c:v>
                </c:pt>
                <c:pt idx="1">
                  <c:v>3.4684193611477271E-3</c:v>
                </c:pt>
                <c:pt idx="2">
                  <c:v>3.4687705508721855E-3</c:v>
                </c:pt>
                <c:pt idx="3">
                  <c:v>3.4691543918783999E-3</c:v>
                </c:pt>
                <c:pt idx="4">
                  <c:v>3.4695739226873771E-3</c:v>
                </c:pt>
                <c:pt idx="5">
                  <c:v>3.4700324652330544E-3</c:v>
                </c:pt>
                <c:pt idx="6">
                  <c:v>3.4705336512250748E-3</c:v>
                </c:pt>
                <c:pt idx="7">
                  <c:v>3.4710814512671248E-3</c:v>
                </c:pt>
                <c:pt idx="8">
                  <c:v>3.4716802066348212E-3</c:v>
                </c:pt>
                <c:pt idx="9">
                  <c:v>3.4723346640461164E-3</c:v>
                </c:pt>
                <c:pt idx="10">
                  <c:v>3.4730500137423034E-3</c:v>
                </c:pt>
                <c:pt idx="11">
                  <c:v>3.4738319311735199E-3</c:v>
                </c:pt>
                <c:pt idx="12">
                  <c:v>3.4746866227183754E-3</c:v>
                </c:pt>
                <c:pt idx="13">
                  <c:v>3.47562087569467E-3</c:v>
                </c:pt>
                <c:pt idx="14">
                  <c:v>3.4766421131673642E-3</c:v>
                </c:pt>
                <c:pt idx="15">
                  <c:v>3.4777584540612383E-3</c:v>
                </c:pt>
                <c:pt idx="16">
                  <c:v>3.4789787790021594E-3</c:v>
                </c:pt>
                <c:pt idx="17">
                  <c:v>3.4803128025528659E-3</c:v>
                </c:pt>
                <c:pt idx="18">
                  <c:v>3.4817711524101655E-3</c:v>
                </c:pt>
                <c:pt idx="19">
                  <c:v>3.483365456329773E-3</c:v>
                </c:pt>
                <c:pt idx="20">
                  <c:v>3.4851084375073747E-3</c:v>
                </c:pt>
                <c:pt idx="21">
                  <c:v>3.4870140193170892E-3</c:v>
                </c:pt>
                <c:pt idx="22">
                  <c:v>3.4890974403599183E-3</c:v>
                </c:pt>
                <c:pt idx="23">
                  <c:v>3.4913753808804332E-3</c:v>
                </c:pt>
                <c:pt idx="24">
                  <c:v>3.493866101766148E-3</c:v>
                </c:pt>
                <c:pt idx="25">
                  <c:v>3.4965895974414679E-3</c:v>
                </c:pt>
                <c:pt idx="26">
                  <c:v>3.4995677641386884E-3</c:v>
                </c:pt>
                <c:pt idx="27">
                  <c:v>3.5028245852211904E-3</c:v>
                </c:pt>
                <c:pt idx="28">
                  <c:v>3.5063863353986769E-3</c:v>
                </c:pt>
                <c:pt idx="29">
                  <c:v>3.5102818059258916E-3</c:v>
                </c:pt>
                <c:pt idx="30">
                  <c:v>3.5145425531280935E-3</c:v>
                </c:pt>
                <c:pt idx="31">
                  <c:v>3.5192031728828897E-3</c:v>
                </c:pt>
                <c:pt idx="32">
                  <c:v>3.5243016040342029E-3</c:v>
                </c:pt>
                <c:pt idx="33">
                  <c:v>3.5298794640924364E-3</c:v>
                </c:pt>
                <c:pt idx="34">
                  <c:v>3.5359824210192759E-3</c:v>
                </c:pt>
                <c:pt idx="35">
                  <c:v>3.5426606054059246E-3</c:v>
                </c:pt>
                <c:pt idx="36">
                  <c:v>3.5499690679372583E-3</c:v>
                </c:pt>
                <c:pt idx="37">
                  <c:v>3.5579682877122602E-3</c:v>
                </c:pt>
                <c:pt idx="38">
                  <c:v>3.5667247377758754E-3</c:v>
                </c:pt>
                <c:pt idx="39">
                  <c:v>3.5763115151230904E-3</c:v>
                </c:pt>
                <c:pt idx="40">
                  <c:v>3.5868090434907018E-3</c:v>
                </c:pt>
                <c:pt idx="41">
                  <c:v>3.5983058584780833E-3</c:v>
                </c:pt>
                <c:pt idx="42">
                  <c:v>3.6108994859638086E-3</c:v>
                </c:pt>
                <c:pt idx="43">
                  <c:v>3.6246974264480055E-3</c:v>
                </c:pt>
                <c:pt idx="44">
                  <c:v>3.63981825989502E-3</c:v>
                </c:pt>
                <c:pt idx="45">
                  <c:v>3.6563928879178192E-3</c:v>
                </c:pt>
                <c:pt idx="46">
                  <c:v>3.6745659328025226E-3</c:v>
                </c:pt>
                <c:pt idx="47">
                  <c:v>3.6944973159805366E-3</c:v>
                </c:pt>
                <c:pt idx="48">
                  <c:v>3.7163640421971904E-3</c:v>
                </c:pt>
                <c:pt idx="49">
                  <c:v>3.7403622198930037E-3</c:v>
                </c:pt>
                <c:pt idx="50">
                  <c:v>3.7667093533141674E-3</c:v>
                </c:pt>
                <c:pt idx="51">
                  <c:v>3.7956469477254226E-3</c:v>
                </c:pt>
                <c:pt idx="52">
                  <c:v>3.8274434759542624E-3</c:v>
                </c:pt>
                <c:pt idx="53">
                  <c:v>3.8623977625093439E-3</c:v>
                </c:pt>
                <c:pt idx="54">
                  <c:v>3.9008428508683947E-3</c:v>
                </c:pt>
                <c:pt idx="55">
                  <c:v>3.9431504304170122E-3</c:v>
                </c:pt>
                <c:pt idx="56">
                  <c:v>3.9897359121475245E-3</c:v>
                </c:pt>
                <c:pt idx="57">
                  <c:v>4.0410642568098438E-3</c:v>
                </c:pt>
                <c:pt idx="58">
                  <c:v>4.0976566759454739E-3</c:v>
                </c:pt>
                <c:pt idx="59">
                  <c:v>4.1600983453002486E-3</c:v>
                </c:pt>
                <c:pt idx="60">
                  <c:v>4.2290472915993077E-3</c:v>
                </c:pt>
                <c:pt idx="61">
                  <c:v>4.3052446375526875E-3</c:v>
                </c:pt>
                <c:pt idx="62">
                  <c:v>4.3895264160102787E-3</c:v>
                </c:pt>
                <c:pt idx="63">
                  <c:v>4.482837191847033E-3</c:v>
                </c:pt>
                <c:pt idx="64">
                  <c:v>4.586245758396887E-3</c:v>
                </c:pt>
                <c:pt idx="65">
                  <c:v>4.7009632023222005E-3</c:v>
                </c:pt>
                <c:pt idx="66">
                  <c:v>4.8283636539532973E-3</c:v>
                </c:pt>
                <c:pt idx="67">
                  <c:v>4.9700080552153234E-3</c:v>
                </c:pt>
                <c:pt idx="68">
                  <c:v>5.1276712782579136E-3</c:v>
                </c:pt>
                <c:pt idx="69">
                  <c:v>5.3033729063674271E-3</c:v>
                </c:pt>
                <c:pt idx="70">
                  <c:v>5.4994119332071037E-3</c:v>
                </c:pt>
                <c:pt idx="71">
                  <c:v>5.7184055319315875E-3</c:v>
                </c:pt>
                <c:pt idx="72">
                  <c:v>5.9633318736336339E-3</c:v>
                </c:pt>
                <c:pt idx="73">
                  <c:v>6.2375767131932196E-3</c:v>
                </c:pt>
                <c:pt idx="74">
                  <c:v>6.5449830870751404E-3</c:v>
                </c:pt>
                <c:pt idx="75">
                  <c:v>6.8899029622603632E-3</c:v>
                </c:pt>
                <c:pt idx="76">
                  <c:v>7.2772490295183413E-3</c:v>
                </c:pt>
                <c:pt idx="77">
                  <c:v>7.7125440623337883E-3</c:v>
                </c:pt>
                <c:pt idx="78">
                  <c:v>8.2019644212994233E-3</c:v>
                </c:pt>
                <c:pt idx="79">
                  <c:v>8.752373493441554E-3</c:v>
                </c:pt>
                <c:pt idx="80">
                  <c:v>9.3713403252583365E-3</c:v>
                </c:pt>
                <c:pt idx="81">
                  <c:v>1.0067138746994797E-2</c:v>
                </c:pt>
                <c:pt idx="82">
                  <c:v>1.0848723290688103E-2</c:v>
                </c:pt>
                <c:pt idx="83">
                  <c:v>1.1725680592799329E-2</c:v>
                </c:pt>
                <c:pt idx="84">
                  <c:v>1.2708159037320907E-2</c:v>
                </c:pt>
                <c:pt idx="85">
                  <c:v>1.3806785082097943E-2</c:v>
                </c:pt>
                <c:pt idx="86">
                  <c:v>1.5032581353647826E-2</c:v>
                </c:pt>
                <c:pt idx="87">
                  <c:v>1.6396907735591045E-2</c:v>
                </c:pt>
                <c:pt idx="88">
                  <c:v>1.7911450149300626E-2</c:v>
                </c:pt>
                <c:pt idx="89">
                  <c:v>1.9588280197644033E-2</c:v>
                </c:pt>
                <c:pt idx="90">
                  <c:v>2.1440000802397489E-2</c:v>
                </c:pt>
                <c:pt idx="91">
                  <c:v>2.3479978870187178E-2</c:v>
                </c:pt>
                <c:pt idx="92">
                  <c:v>2.5722648951296744E-2</c:v>
                </c:pt>
                <c:pt idx="93">
                  <c:v>2.8183857006080029E-2</c:v>
                </c:pt>
                <c:pt idx="94">
                  <c:v>3.0881206219969266E-2</c:v>
                </c:pt>
                <c:pt idx="95">
                  <c:v>3.3834370506840773E-2</c:v>
                </c:pt>
                <c:pt idx="96">
                  <c:v>3.7065355027200424E-2</c:v>
                </c:pt>
                <c:pt idx="97">
                  <c:v>4.0598701834837415E-2</c:v>
                </c:pt>
                <c:pt idx="98">
                  <c:v>4.4461655906783852E-2</c:v>
                </c:pt>
                <c:pt idx="99">
                  <c:v>4.8684316796735183E-2</c:v>
                </c:pt>
                <c:pt idx="100">
                  <c:v>5.3299802037307109E-2</c:v>
                </c:pt>
                <c:pt idx="101">
                  <c:v>5.834444216608644E-2</c:v>
                </c:pt>
                <c:pt idx="102">
                  <c:v>6.3858018118618187E-2</c:v>
                </c:pt>
                <c:pt idx="103">
                  <c:v>6.9884043841467139E-2</c:v>
                </c:pt>
                <c:pt idx="104">
                  <c:v>7.6470092555152053E-2</c:v>
                </c:pt>
                <c:pt idx="105">
                  <c:v>8.3668164148506877E-2</c:v>
                </c:pt>
                <c:pt idx="106">
                  <c:v>9.1535092385042136E-2</c:v>
                </c:pt>
                <c:pt idx="107">
                  <c:v>0.10013299246906837</c:v>
                </c:pt>
                <c:pt idx="108">
                  <c:v>0.10952975114627309</c:v>
                </c:pt>
                <c:pt idx="109">
                  <c:v>0.11979956263986771</c:v>
                </c:pt>
                <c:pt idx="110">
                  <c:v>0.13102351445786678</c:v>
                </c:pt>
                <c:pt idx="111">
                  <c:v>0.14329022764140645</c:v>
                </c:pt>
                <c:pt idx="112">
                  <c:v>0.15669655649664482</c:v>
                </c:pt>
                <c:pt idx="113">
                  <c:v>0.17134835333292361</c:v>
                </c:pt>
                <c:pt idx="114">
                  <c:v>0.18736130424516928</c:v>
                </c:pt>
                <c:pt idx="115">
                  <c:v>0.20486184253974468</c:v>
                </c:pt>
                <c:pt idx="116">
                  <c:v>0.22398814701602282</c:v>
                </c:pt>
                <c:pt idx="117">
                  <c:v>0.24489123298592655</c:v>
                </c:pt>
                <c:pt idx="118">
                  <c:v>0.26773614464588907</c:v>
                </c:pt>
                <c:pt idx="119">
                  <c:v>0.29270325821591736</c:v>
                </c:pt>
                <c:pt idx="120">
                  <c:v>0.31998970613501054</c:v>
                </c:pt>
                <c:pt idx="121">
                  <c:v>0.34981093355799225</c:v>
                </c:pt>
                <c:pt idx="122">
                  <c:v>0.38240239944341825</c:v>
                </c:pt>
                <c:pt idx="123">
                  <c:v>0.41802143566385269</c:v>
                </c:pt>
                <c:pt idx="124">
                  <c:v>0.4569492788175013</c:v>
                </c:pt>
                <c:pt idx="125">
                  <c:v>0.49949329078376553</c:v>
                </c:pt>
                <c:pt idx="126">
                  <c:v>0.5459893855555521</c:v>
                </c:pt>
                <c:pt idx="127">
                  <c:v>0.59680468150985388</c:v>
                </c:pt>
                <c:pt idx="128">
                  <c:v>0.65234040005810634</c:v>
                </c:pt>
                <c:pt idx="129">
                  <c:v>0.71303503356315767</c:v>
                </c:pt>
                <c:pt idx="130">
                  <c:v>0.77936780753573009</c:v>
                </c:pt>
                <c:pt idx="131">
                  <c:v>0.85186246444678482</c:v>
                </c:pt>
                <c:pt idx="132">
                  <c:v>0.93109139903157712</c:v>
                </c:pt>
                <c:pt idx="133">
                  <c:v>1.0176801777364581</c:v>
                </c:pt>
                <c:pt idx="134">
                  <c:v>1.1123124779925375</c:v>
                </c:pt>
                <c:pt idx="135">
                  <c:v>1.2157354863151519</c:v>
                </c:pt>
                <c:pt idx="136">
                  <c:v>1.3287657978508098</c:v>
                </c:pt>
                <c:pt idx="137">
                  <c:v>1.4522958639525705</c:v>
                </c:pt>
                <c:pt idx="138">
                  <c:v>1.587301038691858</c:v>
                </c:pt>
                <c:pt idx="139">
                  <c:v>1.7348472799437253</c:v>
                </c:pt>
                <c:pt idx="140">
                  <c:v>1.8960995658508899</c:v>
                </c:pt>
                <c:pt idx="141">
                  <c:v>2.0723310931202703</c:v>
                </c:pt>
                <c:pt idx="142">
                  <c:v>2.2649333297788261</c:v>
                </c:pt>
                <c:pt idx="143">
                  <c:v>2.4754270017620885</c:v>
                </c:pt>
              </c:numCache>
            </c:numRef>
          </c:yVal>
          <c:smooth val="1"/>
          <c:extLst>
            <c:ext xmlns:c16="http://schemas.microsoft.com/office/drawing/2014/chart" uri="{C3380CC4-5D6E-409C-BE32-E72D297353CC}">
              <c16:uniqueId val="{00000000-F697-4FEF-8F5B-C38DEE84F827}"/>
            </c:ext>
          </c:extLst>
        </c:ser>
        <c:ser>
          <c:idx val="1"/>
          <c:order val="1"/>
          <c:tx>
            <c:v>Inside conductor</c:v>
          </c:tx>
          <c:spPr>
            <a:ln w="12700">
              <a:solidFill>
                <a:srgbClr val="FF00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Calcs!$R$14:$R$157</c:f>
              <c:numCache>
                <c:formatCode>0.00E+00</c:formatCode>
                <c:ptCount val="144"/>
                <c:pt idx="0">
                  <c:v>2.3549027842618215E-2</c:v>
                </c:pt>
                <c:pt idx="1">
                  <c:v>2.3550595485266976E-2</c:v>
                </c:pt>
                <c:pt idx="2">
                  <c:v>2.3552308809291652E-2</c:v>
                </c:pt>
                <c:pt idx="3">
                  <c:v>2.3554181361709808E-2</c:v>
                </c:pt>
                <c:pt idx="4">
                  <c:v>2.3556227946451985E-2</c:v>
                </c:pt>
                <c:pt idx="5">
                  <c:v>2.3558464745953293E-2</c:v>
                </c:pt>
                <c:pt idx="6">
                  <c:v>2.3560909450528883E-2</c:v>
                </c:pt>
                <c:pt idx="7">
                  <c:v>2.3563581396330555E-2</c:v>
                </c:pt>
                <c:pt idx="8">
                  <c:v>2.3566501720652774E-2</c:v>
                </c:pt>
                <c:pt idx="9">
                  <c:v>2.3569693529898666E-2</c:v>
                </c:pt>
                <c:pt idx="10">
                  <c:v>2.3573182083122791E-2</c:v>
                </c:pt>
                <c:pt idx="11">
                  <c:v>2.3576994994199723E-2</c:v>
                </c:pt>
                <c:pt idx="12">
                  <c:v>2.3581162450656105E-2</c:v>
                </c:pt>
                <c:pt idx="13">
                  <c:v>2.3585717455930879E-2</c:v>
                </c:pt>
                <c:pt idx="14">
                  <c:v>2.3590696092356086E-2</c:v>
                </c:pt>
                <c:pt idx="15">
                  <c:v>2.3596137809890512E-2</c:v>
                </c:pt>
                <c:pt idx="16">
                  <c:v>2.3602085742324235E-2</c:v>
                </c:pt>
                <c:pt idx="17">
                  <c:v>2.3608587052574112E-2</c:v>
                </c:pt>
                <c:pt idx="18">
                  <c:v>2.361569331185176E-2</c:v>
                </c:pt>
                <c:pt idx="19">
                  <c:v>2.362346091427299E-2</c:v>
                </c:pt>
                <c:pt idx="20">
                  <c:v>2.3631951530995069E-2</c:v>
                </c:pt>
                <c:pt idx="21">
                  <c:v>2.3641232608058393E-2</c:v>
                </c:pt>
                <c:pt idx="22">
                  <c:v>2.3651377911672922E-2</c:v>
                </c:pt>
                <c:pt idx="23">
                  <c:v>2.3662468125887556E-2</c:v>
                </c:pt>
                <c:pt idx="24">
                  <c:v>2.3674591508006947E-2</c:v>
                </c:pt>
                <c:pt idx="25">
                  <c:v>2.3687844607240934E-2</c:v>
                </c:pt>
                <c:pt idx="26">
                  <c:v>2.3702333052943066E-2</c:v>
                </c:pt>
                <c:pt idx="27">
                  <c:v>2.37181724197413E-2</c:v>
                </c:pt>
                <c:pt idx="28">
                  <c:v>2.3735489177080519E-2</c:v>
                </c:pt>
                <c:pt idx="29">
                  <c:v>2.3754421731962096E-2</c:v>
                </c:pt>
                <c:pt idx="30">
                  <c:v>2.3775121574458095E-2</c:v>
                </c:pt>
                <c:pt idx="31">
                  <c:v>2.37977545366648E-2</c:v>
                </c:pt>
                <c:pt idx="32">
                  <c:v>2.3822502177016314E-2</c:v>
                </c:pt>
                <c:pt idx="33">
                  <c:v>2.3849563303178788E-2</c:v>
                </c:pt>
                <c:pt idx="34">
                  <c:v>2.3879155648299434E-2</c:v>
                </c:pt>
                <c:pt idx="35">
                  <c:v>2.3911517717133374E-2</c:v>
                </c:pt>
                <c:pt idx="36">
                  <c:v>2.3946910820540453E-2</c:v>
                </c:pt>
                <c:pt idx="37">
                  <c:v>2.3985621318989861E-2</c:v>
                </c:pt>
                <c:pt idx="38">
                  <c:v>2.40279630983171E-2</c:v>
                </c:pt>
                <c:pt idx="39">
                  <c:v>2.4074280303782159E-2</c:v>
                </c:pt>
                <c:pt idx="40">
                  <c:v>2.412495036175618E-2</c:v>
                </c:pt>
                <c:pt idx="41">
                  <c:v>2.4180387322019666E-2</c:v>
                </c:pt>
                <c:pt idx="42">
                  <c:v>2.4241045557921927E-2</c:v>
                </c:pt>
                <c:pt idx="43">
                  <c:v>2.430742386641704E-2</c:v>
                </c:pt>
                <c:pt idx="44">
                  <c:v>2.4380070015487348E-2</c:v>
                </c:pt>
                <c:pt idx="45">
                  <c:v>2.4459585792704214E-2</c:v>
                </c:pt>
                <c:pt idx="46">
                  <c:v>2.4546632615834264E-2</c:v>
                </c:pt>
                <c:pt idx="47">
                  <c:v>2.464193777452154E-2</c:v>
                </c:pt>
                <c:pt idx="48">
                  <c:v>2.4746301381373667E-2</c:v>
                </c:pt>
                <c:pt idx="49">
                  <c:v>2.4860604121372476E-2</c:v>
                </c:pt>
                <c:pt idx="50">
                  <c:v>2.4985815900563986E-2</c:v>
                </c:pt>
                <c:pt idx="51">
                  <c:v>2.5123005508683967E-2</c:v>
                </c:pt>
                <c:pt idx="52">
                  <c:v>2.5273351425883554E-2</c:v>
                </c:pt>
                <c:pt idx="53">
                  <c:v>2.5438153921243253E-2</c:v>
                </c:pt>
                <c:pt idx="54">
                  <c:v>2.5618848610492372E-2</c:v>
                </c:pt>
                <c:pt idx="55">
                  <c:v>2.5817021662420305E-2</c:v>
                </c:pt>
                <c:pt idx="56">
                  <c:v>2.6034426868026726E-2</c:v>
                </c:pt>
                <c:pt idx="57">
                  <c:v>2.6273004813539683E-2</c:v>
                </c:pt>
                <c:pt idx="58">
                  <c:v>2.6534904428001327E-2</c:v>
                </c:pt>
                <c:pt idx="59">
                  <c:v>2.6822507207965113E-2</c:v>
                </c:pt>
                <c:pt idx="60">
                  <c:v>2.7138454455543706E-2</c:v>
                </c:pt>
                <c:pt idx="61">
                  <c:v>2.748567790085343E-2</c:v>
                </c:pt>
                <c:pt idx="62">
                  <c:v>2.7867434114665784E-2</c:v>
                </c:pt>
                <c:pt idx="63">
                  <c:v>2.8287343150093014E-2</c:v>
                </c:pt>
                <c:pt idx="64">
                  <c:v>2.874943188098078E-2</c:v>
                </c:pt>
                <c:pt idx="65">
                  <c:v>2.9258182526048442E-2</c:v>
                </c:pt>
                <c:pt idx="66">
                  <c:v>2.9818586857316663E-2</c:v>
                </c:pt>
                <c:pt idx="67">
                  <c:v>3.0436206583355538E-2</c:v>
                </c:pt>
                <c:pt idx="68">
                  <c:v>3.1117240365373822E-2</c:v>
                </c:pt>
                <c:pt idx="69">
                  <c:v>3.1868597858811278E-2</c:v>
                </c:pt>
                <c:pt idx="70">
                  <c:v>3.2697981065457564E-2</c:v>
                </c:pt>
                <c:pt idx="71">
                  <c:v>3.3613973121320667E-2</c:v>
                </c:pt>
                <c:pt idx="72">
                  <c:v>3.4626134424384052E-2</c:v>
                </c:pt>
                <c:pt idx="73">
                  <c:v>3.57451057177205E-2</c:v>
                </c:pt>
                <c:pt idx="74">
                  <c:v>3.6982717386778031E-2</c:v>
                </c:pt>
                <c:pt idx="75">
                  <c:v>3.8352103814899147E-2</c:v>
                </c:pt>
                <c:pt idx="76">
                  <c:v>3.9867821194021345E-2</c:v>
                </c:pt>
                <c:pt idx="77">
                  <c:v>4.1545966756009044E-2</c:v>
                </c:pt>
                <c:pt idx="78">
                  <c:v>4.3404297050453962E-2</c:v>
                </c:pt>
                <c:pt idx="79">
                  <c:v>4.5462342755166328E-2</c:v>
                </c:pt>
                <c:pt idx="80">
                  <c:v>4.7741517703596983E-2</c:v>
                </c:pt>
                <c:pt idx="81">
                  <c:v>5.0265220503567729E-2</c:v>
                </c:pt>
                <c:pt idx="82">
                  <c:v>5.3058928447579007E-2</c:v>
                </c:pt>
                <c:pt idx="83">
                  <c:v>5.615028546388267E-2</c:v>
                </c:pt>
                <c:pt idx="84">
                  <c:v>5.9569188599442983E-2</c:v>
                </c:pt>
                <c:pt idx="85">
                  <c:v>6.3347880748898189E-2</c:v>
                </c:pt>
                <c:pt idx="86">
                  <c:v>6.7521060609089703E-2</c:v>
                </c:pt>
                <c:pt idx="87">
                  <c:v>7.2126023490689653E-2</c:v>
                </c:pt>
                <c:pt idx="88">
                  <c:v>7.7202847880806016E-2</c:v>
                </c:pt>
                <c:pt idx="89">
                  <c:v>8.279464182626016E-2</c:v>
                </c:pt>
                <c:pt idx="90">
                  <c:v>8.8947859950835248E-2</c:v>
                </c:pt>
                <c:pt idx="91">
                  <c:v>9.5712696494188954E-2</c:v>
                </c:pt>
                <c:pt idx="92">
                  <c:v>0.10314355315020284</c:v>
                </c:pt>
                <c:pt idx="93">
                  <c:v>0.1112995742465793</c:v>
                </c:pt>
                <c:pt idx="94">
                  <c:v>0.12024523764112212</c:v>
                </c:pt>
                <c:pt idx="95">
                  <c:v>0.13005098884629318</c:v>
                </c:pt>
                <c:pt idx="96">
                  <c:v>0.14079390859266125</c:v>
                </c:pt>
                <c:pt idx="97">
                  <c:v>0.15255840944002466</c:v>
                </c:pt>
                <c:pt idx="98">
                  <c:v>0.16543696348141454</c:v>
                </c:pt>
                <c:pt idx="99">
                  <c:v>0.1795308688761732</c:v>
                </c:pt>
                <c:pt idx="100">
                  <c:v>0.19495106667664572</c:v>
                </c:pt>
                <c:pt idx="101">
                  <c:v>0.2118190208903438</c:v>
                </c:pt>
                <c:pt idx="102">
                  <c:v>0.23026767448060487</c:v>
                </c:pt>
                <c:pt idx="103">
                  <c:v>0.25044249297330162</c:v>
                </c:pt>
                <c:pt idx="104">
                  <c:v>0.27250260633259116</c:v>
                </c:pt>
                <c:pt idx="105">
                  <c:v>0.29662205926105228</c:v>
                </c:pt>
                <c:pt idx="106">
                  <c:v>0.3229911801688054</c:v>
                </c:pt>
                <c:pt idx="107">
                  <c:v>0.35181807962933515</c:v>
                </c:pt>
                <c:pt idx="108">
                  <c:v>0.38333029003398722</c:v>
                </c:pt>
                <c:pt idx="109">
                  <c:v>0.41777655925101831</c:v>
                </c:pt>
                <c:pt idx="110">
                  <c:v>0.45542881232654375</c:v>
                </c:pt>
                <c:pt idx="111">
                  <c:v>0.49658429661398029</c:v>
                </c:pt>
                <c:pt idx="112">
                  <c:v>0.54156792718712687</c:v>
                </c:pt>
                <c:pt idx="113">
                  <c:v>0.59073485098984402</c:v>
                </c:pt>
                <c:pt idx="114">
                  <c:v>0.64447324991540433</c:v>
                </c:pt>
                <c:pt idx="115">
                  <c:v>0.70320740490541145</c:v>
                </c:pt>
                <c:pt idx="116">
                  <c:v>0.76740104522729469</c:v>
                </c:pt>
                <c:pt idx="117">
                  <c:v>0.83756100934758515</c:v>
                </c:pt>
                <c:pt idx="118">
                  <c:v>0.91424124628366177</c:v>
                </c:pt>
                <c:pt idx="119">
                  <c:v>0.9980471890091337</c:v>
                </c:pt>
                <c:pt idx="120">
                  <c:v>1.0896405344290272</c:v>
                </c:pt>
                <c:pt idx="121">
                  <c:v>1.1897444676537967</c:v>
                </c:pt>
                <c:pt idx="122">
                  <c:v>1.2991493718114364</c:v>
                </c:pt>
                <c:pt idx="123">
                  <c:v>1.4187190684723914</c:v>
                </c:pt>
                <c:pt idx="124">
                  <c:v>1.5493976379530001</c:v>
                </c:pt>
                <c:pt idx="125">
                  <c:v>1.6922168733428897</c:v>
                </c:pt>
                <c:pt idx="126">
                  <c:v>1.8483044271064268</c:v>
                </c:pt>
                <c:pt idx="127">
                  <c:v>2.0188927145774427</c:v>
                </c:pt>
                <c:pt idx="128">
                  <c:v>2.2053286446433105</c:v>
                </c:pt>
                <c:pt idx="129">
                  <c:v>2.4090842544461855</c:v>
                </c:pt>
                <c:pt idx="130">
                  <c:v>2.6317683320675309</c:v>
                </c:pt>
                <c:pt idx="131">
                  <c:v>2.875139118963165</c:v>
                </c:pt>
                <c:pt idx="132">
                  <c:v>3.141118192441771</c:v>
                </c:pt>
                <c:pt idx="133">
                  <c:v>3.4318056377973067</c:v>
                </c:pt>
                <c:pt idx="134">
                  <c:v>3.7494966298886041</c:v>
                </c:pt>
                <c:pt idx="135">
                  <c:v>4.0966995550882359</c:v>
                </c:pt>
                <c:pt idx="136">
                  <c:v>4.4761558166850657</c:v>
                </c:pt>
                <c:pt idx="137">
                  <c:v>4.890861480117076</c:v>
                </c:pt>
                <c:pt idx="138">
                  <c:v>5.3440909289378462</c:v>
                </c:pt>
                <c:pt idx="139">
                  <c:v>5.8394227182962766</c:v>
                </c:pt>
                <c:pt idx="140">
                  <c:v>6.3807678300600443</c:v>
                </c:pt>
                <c:pt idx="141">
                  <c:v>6.9724005526760164</c:v>
                </c:pt>
                <c:pt idx="142">
                  <c:v>7.6189922295848724</c:v>
                </c:pt>
                <c:pt idx="143">
                  <c:v>8.3256481426565259</c:v>
                </c:pt>
              </c:numCache>
            </c:numRef>
          </c:yVal>
          <c:smooth val="1"/>
          <c:extLst>
            <c:ext xmlns:c16="http://schemas.microsoft.com/office/drawing/2014/chart" uri="{C3380CC4-5D6E-409C-BE32-E72D297353CC}">
              <c16:uniqueId val="{00000001-F697-4FEF-8F5B-C38DEE84F827}"/>
            </c:ext>
          </c:extLst>
        </c:ser>
        <c:ser>
          <c:idx val="2"/>
          <c:order val="2"/>
          <c:tx>
            <c:v>Loss tangent</c:v>
          </c:tx>
          <c:spPr>
            <a:ln w="12700">
              <a:solidFill>
                <a:srgbClr val="FF000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Calcs!$AA$14:$AA$157</c:f>
              <c:numCache>
                <c:formatCode>0.00E+00</c:formatCode>
                <c:ptCount val="144"/>
                <c:pt idx="0">
                  <c:v>3.9570763088004036E-11</c:v>
                </c:pt>
                <c:pt idx="1">
                  <c:v>4.7263929817004449E-11</c:v>
                </c:pt>
                <c:pt idx="2">
                  <c:v>5.6452766826322015E-11</c:v>
                </c:pt>
                <c:pt idx="3">
                  <c:v>6.7428055489378858E-11</c:v>
                </c:pt>
                <c:pt idx="4">
                  <c:v>8.0537109563934705E-11</c:v>
                </c:pt>
                <c:pt idx="5">
                  <c:v>9.6194765959622268E-11</c:v>
                </c:pt>
                <c:pt idx="6">
                  <c:v>1.1489651228022564E-10</c:v>
                </c:pt>
                <c:pt idx="7">
                  <c:v>1.3723416656267189E-10</c:v>
                </c:pt>
                <c:pt idx="8">
                  <c:v>1.6391460539914473E-10</c:v>
                </c:pt>
                <c:pt idx="9">
                  <c:v>1.9578213309502109E-10</c:v>
                </c:pt>
                <c:pt idx="10">
                  <c:v>2.3384519973615823E-10</c:v>
                </c:pt>
                <c:pt idx="11">
                  <c:v>2.7930831366059103E-10</c:v>
                </c:pt>
                <c:pt idx="12">
                  <c:v>3.3361015820698225E-10</c:v>
                </c:pt>
                <c:pt idx="13">
                  <c:v>3.984691189469272E-10</c:v>
                </c:pt>
                <c:pt idx="14">
                  <c:v>4.7593766211348341E-10</c:v>
                </c:pt>
                <c:pt idx="15">
                  <c:v>5.6846728503500019E-10</c:v>
                </c:pt>
                <c:pt idx="16">
                  <c:v>6.7898609393515605E-10</c:v>
                </c:pt>
                <c:pt idx="17">
                  <c:v>8.1099146405397041E-10</c:v>
                </c:pt>
                <c:pt idx="18">
                  <c:v>9.686607143256371E-10</c:v>
                </c:pt>
                <c:pt idx="19">
                  <c:v>1.1569832989209004E-9</c:v>
                </c:pt>
                <c:pt idx="20">
                  <c:v>1.3819186988643434E-9</c:v>
                </c:pt>
                <c:pt idx="21">
                  <c:v>1.6505850102175761E-9</c:v>
                </c:pt>
                <c:pt idx="22">
                  <c:v>1.9714841967142388E-9</c:v>
                </c:pt>
                <c:pt idx="23">
                  <c:v>2.3547711349817999E-9</c:v>
                </c:pt>
                <c:pt idx="24">
                  <c:v>2.8125749663045354E-9</c:v>
                </c:pt>
                <c:pt idx="25">
                  <c:v>3.3593829241261273E-9</c:v>
                </c:pt>
                <c:pt idx="26">
                  <c:v>4.0124987835393614E-9</c:v>
                </c:pt>
                <c:pt idx="27">
                  <c:v>4.7925904404282725E-9</c:v>
                </c:pt>
                <c:pt idx="28">
                  <c:v>5.7243439484420088E-9</c:v>
                </c:pt>
                <c:pt idx="29">
                  <c:v>6.8372447108450266E-9</c:v>
                </c:pt>
                <c:pt idx="30">
                  <c:v>8.166510548112966E-9</c:v>
                </c:pt>
                <c:pt idx="31">
                  <c:v>9.7542061682618628E-9</c:v>
                </c:pt>
                <c:pt idx="32">
                  <c:v>1.1650574307400215E-8</c:v>
                </c:pt>
                <c:pt idx="33">
                  <c:v>1.3915625664537421E-8</c:v>
                </c:pt>
                <c:pt idx="34">
                  <c:v>1.662103794424394E-8</c:v>
                </c:pt>
                <c:pt idx="35">
                  <c:v>1.9852424102497598E-8</c:v>
                </c:pt>
                <c:pt idx="36">
                  <c:v>2.3712041574510414E-8</c:v>
                </c:pt>
                <c:pt idx="37">
                  <c:v>2.8322028218235242E-8</c:v>
                </c:pt>
                <c:pt idx="38">
                  <c:v>3.3828267375204923E-8</c:v>
                </c:pt>
                <c:pt idx="39">
                  <c:v>4.0405004358817733E-8</c:v>
                </c:pt>
                <c:pt idx="40">
                  <c:v>4.826036045915551E-8</c:v>
                </c:pt>
                <c:pt idx="41">
                  <c:v>5.7642918955392717E-8</c:v>
                </c:pt>
                <c:pt idx="42">
                  <c:v>6.8849591550608086E-8</c:v>
                </c:pt>
                <c:pt idx="43">
                  <c:v>8.2235014162864378E-8</c:v>
                </c:pt>
                <c:pt idx="44">
                  <c:v>9.8222769403005652E-8</c:v>
                </c:pt>
                <c:pt idx="45">
                  <c:v>1.1731879087524656E-7</c:v>
                </c:pt>
                <c:pt idx="46">
                  <c:v>1.401273734805594E-7</c:v>
                </c:pt>
                <c:pt idx="47">
                  <c:v>1.6737029637000097E-7</c:v>
                </c:pt>
                <c:pt idx="48">
                  <c:v>1.9990966369514032E-7</c:v>
                </c:pt>
                <c:pt idx="49">
                  <c:v>2.3877518595269176E-7</c:v>
                </c:pt>
                <c:pt idx="50">
                  <c:v>2.8519676524336273E-7</c:v>
                </c:pt>
                <c:pt idx="51">
                  <c:v>3.4064341560765446E-7</c:v>
                </c:pt>
                <c:pt idx="52">
                  <c:v>4.0686975007529364E-7</c:v>
                </c:pt>
                <c:pt idx="53">
                  <c:v>4.8597150551414345E-7</c:v>
                </c:pt>
                <c:pt idx="54">
                  <c:v>5.8045186236622133E-7</c:v>
                </c:pt>
                <c:pt idx="55">
                  <c:v>6.9330065796338959E-7</c:v>
                </c:pt>
                <c:pt idx="56">
                  <c:v>8.2808900013349448E-7</c:v>
                </c:pt>
                <c:pt idx="57">
                  <c:v>9.8908227515096558E-7</c:v>
                </c:pt>
                <c:pt idx="58">
                  <c:v>1.1813751261761755E-6</c:v>
                </c:pt>
                <c:pt idx="59">
                  <c:v>1.4110526735854752E-6</c:v>
                </c:pt>
                <c:pt idx="60">
                  <c:v>1.6853830790202319E-6</c:v>
                </c:pt>
                <c:pt idx="61">
                  <c:v>2.0130475468573303E-6</c:v>
                </c:pt>
                <c:pt idx="62">
                  <c:v>2.4044150415133414E-6</c:v>
                </c:pt>
                <c:pt idx="63">
                  <c:v>2.8718704140301823E-6</c:v>
                </c:pt>
                <c:pt idx="64">
                  <c:v>3.4302063215304202E-6</c:v>
                </c:pt>
                <c:pt idx="65">
                  <c:v>4.0970913418601052E-6</c:v>
                </c:pt>
                <c:pt idx="66">
                  <c:v>4.8936290969389061E-6</c:v>
                </c:pt>
                <c:pt idx="67">
                  <c:v>5.8450260783140678E-6</c:v>
                </c:pt>
                <c:pt idx="68">
                  <c:v>6.9813893083033652E-6</c:v>
                </c:pt>
                <c:pt idx="69">
                  <c:v>8.3386790787682835E-6</c:v>
                </c:pt>
                <c:pt idx="70">
                  <c:v>9.9598469170008349E-6</c:v>
                </c:pt>
                <c:pt idx="71">
                  <c:v>1.1896194789732068E-5</c:v>
                </c:pt>
                <c:pt idx="72">
                  <c:v>1.4208998557365728E-5</c:v>
                </c:pt>
                <c:pt idx="73">
                  <c:v>1.697144705275699E-5</c:v>
                </c:pt>
                <c:pt idx="74">
                  <c:v>2.027095814681631E-5</c:v>
                </c:pt>
                <c:pt idx="75">
                  <c:v>2.4211945092992313E-5</c:v>
                </c:pt>
                <c:pt idx="76">
                  <c:v>2.8919120691793448E-5</c:v>
                </c:pt>
                <c:pt idx="77">
                  <c:v>3.4541443835859829E-5</c:v>
                </c:pt>
                <c:pt idx="78">
                  <c:v>4.1256833324273077E-5</c:v>
                </c:pt>
                <c:pt idx="79">
                  <c:v>4.9277798115079257E-5</c:v>
                </c:pt>
                <c:pt idx="80">
                  <c:v>5.8858162185749719E-5</c:v>
                </c:pt>
                <c:pt idx="81">
                  <c:v>7.0301096810247498E-5</c:v>
                </c:pt>
                <c:pt idx="82">
                  <c:v>8.3968714434654374E-5</c:v>
                </c:pt>
                <c:pt idx="83">
                  <c:v>1.0029352775020683E-4</c:v>
                </c:pt>
                <c:pt idx="84">
                  <c:v>1.1979213658688795E-4</c:v>
                </c:pt>
                <c:pt idx="85">
                  <c:v>1.4308157575025599E-4</c:v>
                </c:pt>
                <c:pt idx="86">
                  <c:v>1.7089884112992E-4</c:v>
                </c:pt>
                <c:pt idx="87">
                  <c:v>2.0412421198469632E-4</c:v>
                </c:pt>
                <c:pt idx="88">
                  <c:v>2.4380910743974891E-4</c:v>
                </c:pt>
                <c:pt idx="89">
                  <c:v>2.9120935871646426E-4</c:v>
                </c:pt>
                <c:pt idx="90">
                  <c:v>3.47824949997043E-4</c:v>
                </c:pt>
                <c:pt idx="91">
                  <c:v>4.154474855261766E-4</c:v>
                </c:pt>
                <c:pt idx="92">
                  <c:v>4.9621688504947702E-4</c:v>
                </c:pt>
                <c:pt idx="93">
                  <c:v>5.926891017196714E-4</c:v>
                </c:pt>
                <c:pt idx="94">
                  <c:v>7.0791700540832143E-4</c:v>
                </c:pt>
                <c:pt idx="95">
                  <c:v>8.4554699098097542E-4</c:v>
                </c:pt>
                <c:pt idx="96">
                  <c:v>1.0099343687112077E-3</c:v>
                </c:pt>
                <c:pt idx="97">
                  <c:v>1.206281188371061E-3</c:v>
                </c:pt>
                <c:pt idx="98">
                  <c:v>1.4408008584506256E-3</c:v>
                </c:pt>
                <c:pt idx="99">
                  <c:v>1.7209147698931831E-3</c:v>
                </c:pt>
                <c:pt idx="100">
                  <c:v>2.0554871465174075E-3</c:v>
                </c:pt>
                <c:pt idx="101">
                  <c:v>2.4551055539842456E-3</c:v>
                </c:pt>
                <c:pt idx="102">
                  <c:v>2.9324159440338509E-3</c:v>
                </c:pt>
                <c:pt idx="103">
                  <c:v>3.5025228364902804E-3</c:v>
                </c:pt>
                <c:pt idx="104">
                  <c:v>4.1834673028207708E-3</c:v>
                </c:pt>
                <c:pt idx="105">
                  <c:v>4.9967978770719028E-3</c:v>
                </c:pt>
                <c:pt idx="106">
                  <c:v>5.9682524606981405E-3</c:v>
                </c:pt>
                <c:pt idx="107">
                  <c:v>7.1285728002075137E-3</c:v>
                </c:pt>
                <c:pt idx="108">
                  <c:v>8.5144773118250566E-3</c:v>
                </c:pt>
                <c:pt idx="109">
                  <c:v>1.0169823038276786E-2</c:v>
                </c:pt>
                <c:pt idx="110">
                  <c:v>1.2146993507895831E-2</c:v>
                </c:pt>
                <c:pt idx="111">
                  <c:v>1.4508556414946704E-2</c:v>
                </c:pt>
                <c:pt idx="112">
                  <c:v>1.7329243578574599E-2</c:v>
                </c:pt>
                <c:pt idx="113">
                  <c:v>2.0698315836315553E-2</c:v>
                </c:pt>
                <c:pt idx="114">
                  <c:v>2.4722387709383824E-2</c:v>
                </c:pt>
                <c:pt idx="115">
                  <c:v>2.9528801226461992E-2</c:v>
                </c:pt>
                <c:pt idx="116">
                  <c:v>3.5269655670877573E-2</c:v>
                </c:pt>
                <c:pt idx="117">
                  <c:v>4.2126620772790203E-2</c:v>
                </c:pt>
                <c:pt idx="118">
                  <c:v>5.0316685660184171E-2</c:v>
                </c:pt>
                <c:pt idx="119">
                  <c:v>6.0099025494612331E-2</c:v>
                </c:pt>
                <c:pt idx="120">
                  <c:v>7.1783203086847394E-2</c:v>
                </c:pt>
                <c:pt idx="121">
                  <c:v>8.5738965033127029E-2</c:v>
                </c:pt>
                <c:pt idx="122">
                  <c:v>0.10240794237139178</c:v>
                </c:pt>
                <c:pt idx="123">
                  <c:v>0.12231762602557987</c:v>
                </c:pt>
                <c:pt idx="124">
                  <c:v>0.14609805929186617</c:v>
                </c:pt>
                <c:pt idx="125">
                  <c:v>0.17450177560171021</c:v>
                </c:pt>
                <c:pt idx="126">
                  <c:v>0.20842761249358324</c:v>
                </c:pt>
                <c:pt idx="127">
                  <c:v>0.24894915538813306</c:v>
                </c:pt>
                <c:pt idx="128">
                  <c:v>0.29734871127199064</c:v>
                </c:pt>
                <c:pt idx="129">
                  <c:v>0.35515788738975684</c:v>
                </c:pt>
                <c:pt idx="130">
                  <c:v>0.42420605905964437</c:v>
                </c:pt>
                <c:pt idx="131">
                  <c:v>0.506678260380103</c:v>
                </c:pt>
                <c:pt idx="132">
                  <c:v>0.60518432978278514</c:v>
                </c:pt>
                <c:pt idx="133">
                  <c:v>0.72284149854758828</c:v>
                </c:pt>
                <c:pt idx="134">
                  <c:v>0.86337303579896152</c:v>
                </c:pt>
                <c:pt idx="135">
                  <c:v>1.0312260716111068</c:v>
                </c:pt>
                <c:pt idx="136">
                  <c:v>1.2317123267422694</c:v>
                </c:pt>
                <c:pt idx="137">
                  <c:v>1.4711762024001513</c:v>
                </c:pt>
                <c:pt idx="138">
                  <c:v>1.7571955492505309</c:v>
                </c:pt>
                <c:pt idx="139">
                  <c:v>2.0988214690180458</c:v>
                </c:pt>
                <c:pt idx="140">
                  <c:v>2.5068647372171435</c:v>
                </c:pt>
                <c:pt idx="141">
                  <c:v>2.9942379108800443</c:v>
                </c:pt>
                <c:pt idx="142">
                  <c:v>3.5763639473040731</c:v>
                </c:pt>
                <c:pt idx="143">
                  <c:v>4.2716642645864829</c:v>
                </c:pt>
              </c:numCache>
            </c:numRef>
          </c:yVal>
          <c:smooth val="1"/>
          <c:extLst>
            <c:ext xmlns:c16="http://schemas.microsoft.com/office/drawing/2014/chart" uri="{C3380CC4-5D6E-409C-BE32-E72D297353CC}">
              <c16:uniqueId val="{00000002-F697-4FEF-8F5B-C38DEE84F827}"/>
            </c:ext>
          </c:extLst>
        </c:ser>
        <c:ser>
          <c:idx val="3"/>
          <c:order val="3"/>
          <c:tx>
            <c:v>Dielectric conductivity</c:v>
          </c:tx>
          <c:spPr>
            <a:ln w="12700">
              <a:solidFill>
                <a:srgbClr val="00FF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Calcs!$AE$14:$AE$157</c:f>
              <c:numCache>
                <c:formatCode>General</c:formatCode>
                <c:ptCount val="144"/>
                <c:pt idx="0">
                  <c:v>1.1298253133715425E-15</c:v>
                </c:pt>
                <c:pt idx="1">
                  <c:v>1.1298253133715425E-15</c:v>
                </c:pt>
                <c:pt idx="2">
                  <c:v>1.1298253133715425E-15</c:v>
                </c:pt>
                <c:pt idx="3">
                  <c:v>1.1298253133715425E-15</c:v>
                </c:pt>
                <c:pt idx="4">
                  <c:v>1.1298253133715425E-15</c:v>
                </c:pt>
                <c:pt idx="5">
                  <c:v>1.1298253133715425E-15</c:v>
                </c:pt>
                <c:pt idx="6">
                  <c:v>1.1298253133715425E-15</c:v>
                </c:pt>
                <c:pt idx="7">
                  <c:v>1.1298253133715425E-15</c:v>
                </c:pt>
                <c:pt idx="8">
                  <c:v>1.1298253133715425E-15</c:v>
                </c:pt>
                <c:pt idx="9">
                  <c:v>1.1298253133715425E-15</c:v>
                </c:pt>
                <c:pt idx="10">
                  <c:v>1.1298253133715425E-15</c:v>
                </c:pt>
                <c:pt idx="11">
                  <c:v>1.1298253133715425E-15</c:v>
                </c:pt>
                <c:pt idx="12">
                  <c:v>1.1298253133715425E-15</c:v>
                </c:pt>
                <c:pt idx="13">
                  <c:v>1.1298253133715425E-15</c:v>
                </c:pt>
                <c:pt idx="14">
                  <c:v>1.1298253133715425E-15</c:v>
                </c:pt>
                <c:pt idx="15">
                  <c:v>1.1298253133715425E-15</c:v>
                </c:pt>
                <c:pt idx="16">
                  <c:v>1.1298253133715425E-15</c:v>
                </c:pt>
                <c:pt idx="17">
                  <c:v>1.1298253133715425E-15</c:v>
                </c:pt>
                <c:pt idx="18">
                  <c:v>1.1298253133715425E-15</c:v>
                </c:pt>
                <c:pt idx="19">
                  <c:v>1.1298253133715425E-15</c:v>
                </c:pt>
                <c:pt idx="20">
                  <c:v>1.1298253133715425E-15</c:v>
                </c:pt>
                <c:pt idx="21">
                  <c:v>1.1298253133715425E-15</c:v>
                </c:pt>
                <c:pt idx="22">
                  <c:v>1.1298253133715425E-15</c:v>
                </c:pt>
                <c:pt idx="23">
                  <c:v>1.1298253133715425E-15</c:v>
                </c:pt>
                <c:pt idx="24">
                  <c:v>1.1298253133715425E-15</c:v>
                </c:pt>
                <c:pt idx="25">
                  <c:v>1.1298253133715425E-15</c:v>
                </c:pt>
                <c:pt idx="26">
                  <c:v>1.1298253133715425E-15</c:v>
                </c:pt>
                <c:pt idx="27">
                  <c:v>1.1298253133715425E-15</c:v>
                </c:pt>
                <c:pt idx="28">
                  <c:v>1.1298253133715425E-15</c:v>
                </c:pt>
                <c:pt idx="29">
                  <c:v>1.1298253133715425E-15</c:v>
                </c:pt>
                <c:pt idx="30">
                  <c:v>1.1298253133715425E-15</c:v>
                </c:pt>
                <c:pt idx="31">
                  <c:v>1.1298253133715425E-15</c:v>
                </c:pt>
                <c:pt idx="32">
                  <c:v>1.1298253133715425E-15</c:v>
                </c:pt>
                <c:pt idx="33">
                  <c:v>1.1298253133715425E-15</c:v>
                </c:pt>
                <c:pt idx="34">
                  <c:v>1.1298253133715425E-15</c:v>
                </c:pt>
                <c:pt idx="35">
                  <c:v>1.1298253133715425E-15</c:v>
                </c:pt>
                <c:pt idx="36">
                  <c:v>1.1298253133715425E-15</c:v>
                </c:pt>
                <c:pt idx="37">
                  <c:v>1.1298253133715425E-15</c:v>
                </c:pt>
                <c:pt idx="38">
                  <c:v>1.1298253133715425E-15</c:v>
                </c:pt>
                <c:pt idx="39">
                  <c:v>1.1298253133715425E-15</c:v>
                </c:pt>
                <c:pt idx="40">
                  <c:v>1.1298253133715425E-15</c:v>
                </c:pt>
                <c:pt idx="41">
                  <c:v>1.1298253133715425E-15</c:v>
                </c:pt>
                <c:pt idx="42">
                  <c:v>1.1298253133715425E-15</c:v>
                </c:pt>
                <c:pt idx="43">
                  <c:v>1.1298253133715425E-15</c:v>
                </c:pt>
                <c:pt idx="44">
                  <c:v>1.1298253133715425E-15</c:v>
                </c:pt>
                <c:pt idx="45">
                  <c:v>1.1298253133715425E-15</c:v>
                </c:pt>
                <c:pt idx="46">
                  <c:v>1.1298253133715425E-15</c:v>
                </c:pt>
                <c:pt idx="47">
                  <c:v>1.1298253133715425E-15</c:v>
                </c:pt>
                <c:pt idx="48">
                  <c:v>1.1298253133715425E-15</c:v>
                </c:pt>
                <c:pt idx="49">
                  <c:v>1.1298253133715425E-15</c:v>
                </c:pt>
                <c:pt idx="50">
                  <c:v>1.1298253133715425E-15</c:v>
                </c:pt>
                <c:pt idx="51">
                  <c:v>1.1298253133715425E-15</c:v>
                </c:pt>
                <c:pt idx="52">
                  <c:v>1.1298253133715425E-15</c:v>
                </c:pt>
                <c:pt idx="53">
                  <c:v>1.1298253133715425E-15</c:v>
                </c:pt>
                <c:pt idx="54">
                  <c:v>1.1298253133715425E-15</c:v>
                </c:pt>
                <c:pt idx="55">
                  <c:v>1.1298253133715425E-15</c:v>
                </c:pt>
                <c:pt idx="56">
                  <c:v>1.1298253133715425E-15</c:v>
                </c:pt>
                <c:pt idx="57">
                  <c:v>1.1298253133715425E-15</c:v>
                </c:pt>
                <c:pt idx="58">
                  <c:v>1.1298253133715425E-15</c:v>
                </c:pt>
                <c:pt idx="59">
                  <c:v>1.1298253133715425E-15</c:v>
                </c:pt>
                <c:pt idx="60">
                  <c:v>1.1298253133715425E-15</c:v>
                </c:pt>
                <c:pt idx="61">
                  <c:v>1.1298253133715425E-15</c:v>
                </c:pt>
                <c:pt idx="62">
                  <c:v>1.1298253133715425E-15</c:v>
                </c:pt>
                <c:pt idx="63">
                  <c:v>1.1298253133715425E-15</c:v>
                </c:pt>
                <c:pt idx="64">
                  <c:v>1.1298253133715425E-15</c:v>
                </c:pt>
                <c:pt idx="65">
                  <c:v>1.1298253133715425E-15</c:v>
                </c:pt>
                <c:pt idx="66">
                  <c:v>1.1298253133715425E-15</c:v>
                </c:pt>
                <c:pt idx="67">
                  <c:v>1.1298253133715425E-15</c:v>
                </c:pt>
                <c:pt idx="68">
                  <c:v>1.1298253133715425E-15</c:v>
                </c:pt>
                <c:pt idx="69">
                  <c:v>1.1298253133715425E-15</c:v>
                </c:pt>
                <c:pt idx="70">
                  <c:v>1.1298253133715425E-15</c:v>
                </c:pt>
                <c:pt idx="71">
                  <c:v>1.1298253133715425E-15</c:v>
                </c:pt>
                <c:pt idx="72">
                  <c:v>1.1298253133715425E-15</c:v>
                </c:pt>
                <c:pt idx="73">
                  <c:v>1.1298253133715425E-15</c:v>
                </c:pt>
                <c:pt idx="74">
                  <c:v>1.1298253133715425E-15</c:v>
                </c:pt>
                <c:pt idx="75">
                  <c:v>1.1298253133715425E-15</c:v>
                </c:pt>
                <c:pt idx="76">
                  <c:v>1.1298253133715425E-15</c:v>
                </c:pt>
                <c:pt idx="77">
                  <c:v>1.1298253133715425E-15</c:v>
                </c:pt>
                <c:pt idx="78">
                  <c:v>1.1298253133715425E-15</c:v>
                </c:pt>
                <c:pt idx="79">
                  <c:v>1.1298253133715425E-15</c:v>
                </c:pt>
                <c:pt idx="80">
                  <c:v>1.1298253133715425E-15</c:v>
                </c:pt>
                <c:pt idx="81">
                  <c:v>1.1298253133715425E-15</c:v>
                </c:pt>
                <c:pt idx="82">
                  <c:v>1.1298253133715425E-15</c:v>
                </c:pt>
                <c:pt idx="83">
                  <c:v>1.1298253133715425E-15</c:v>
                </c:pt>
                <c:pt idx="84">
                  <c:v>1.1298253133715425E-15</c:v>
                </c:pt>
                <c:pt idx="85">
                  <c:v>1.1298253133715425E-15</c:v>
                </c:pt>
                <c:pt idx="86">
                  <c:v>1.1298253133715425E-15</c:v>
                </c:pt>
                <c:pt idx="87">
                  <c:v>1.1298253133715425E-15</c:v>
                </c:pt>
                <c:pt idx="88">
                  <c:v>1.1298253133715425E-15</c:v>
                </c:pt>
                <c:pt idx="89">
                  <c:v>1.1298253133715425E-15</c:v>
                </c:pt>
                <c:pt idx="90">
                  <c:v>1.1298253133715425E-15</c:v>
                </c:pt>
                <c:pt idx="91">
                  <c:v>1.1298253133715425E-15</c:v>
                </c:pt>
                <c:pt idx="92">
                  <c:v>1.1298253133715425E-15</c:v>
                </c:pt>
                <c:pt idx="93">
                  <c:v>1.1298253133715425E-15</c:v>
                </c:pt>
                <c:pt idx="94">
                  <c:v>1.1298253133715425E-15</c:v>
                </c:pt>
                <c:pt idx="95">
                  <c:v>1.1298253133715425E-15</c:v>
                </c:pt>
                <c:pt idx="96">
                  <c:v>1.1298253133715425E-15</c:v>
                </c:pt>
                <c:pt idx="97">
                  <c:v>1.1298253133715425E-15</c:v>
                </c:pt>
                <c:pt idx="98">
                  <c:v>1.1298253133715425E-15</c:v>
                </c:pt>
                <c:pt idx="99">
                  <c:v>1.1298253133715425E-15</c:v>
                </c:pt>
                <c:pt idx="100">
                  <c:v>1.1298253133715425E-15</c:v>
                </c:pt>
                <c:pt idx="101">
                  <c:v>1.1298253133715425E-15</c:v>
                </c:pt>
                <c:pt idx="102">
                  <c:v>1.1298253133715425E-15</c:v>
                </c:pt>
                <c:pt idx="103">
                  <c:v>1.1298253133715425E-15</c:v>
                </c:pt>
                <c:pt idx="104">
                  <c:v>1.1298253133715425E-15</c:v>
                </c:pt>
                <c:pt idx="105">
                  <c:v>1.1298253133715425E-15</c:v>
                </c:pt>
                <c:pt idx="106">
                  <c:v>1.1298253133715425E-15</c:v>
                </c:pt>
                <c:pt idx="107">
                  <c:v>1.1298253133715425E-15</c:v>
                </c:pt>
                <c:pt idx="108">
                  <c:v>1.1298253133715425E-15</c:v>
                </c:pt>
                <c:pt idx="109">
                  <c:v>1.1298253133715425E-15</c:v>
                </c:pt>
                <c:pt idx="110">
                  <c:v>1.1298253133715425E-15</c:v>
                </c:pt>
                <c:pt idx="111">
                  <c:v>1.1298253133715425E-15</c:v>
                </c:pt>
                <c:pt idx="112">
                  <c:v>1.1298253133715425E-15</c:v>
                </c:pt>
                <c:pt idx="113">
                  <c:v>1.1298253133715425E-15</c:v>
                </c:pt>
                <c:pt idx="114">
                  <c:v>1.1298253133715425E-15</c:v>
                </c:pt>
                <c:pt idx="115">
                  <c:v>1.1298253133715425E-15</c:v>
                </c:pt>
                <c:pt idx="116">
                  <c:v>1.1298253133715425E-15</c:v>
                </c:pt>
                <c:pt idx="117">
                  <c:v>1.1298253133715425E-15</c:v>
                </c:pt>
                <c:pt idx="118">
                  <c:v>1.1298253133715425E-15</c:v>
                </c:pt>
                <c:pt idx="119">
                  <c:v>1.1298253133715425E-15</c:v>
                </c:pt>
                <c:pt idx="120">
                  <c:v>1.1298253133715425E-15</c:v>
                </c:pt>
                <c:pt idx="121">
                  <c:v>1.1298253133715425E-15</c:v>
                </c:pt>
                <c:pt idx="122">
                  <c:v>1.1298253133715425E-15</c:v>
                </c:pt>
                <c:pt idx="123">
                  <c:v>1.1298253133715425E-15</c:v>
                </c:pt>
                <c:pt idx="124">
                  <c:v>1.1298253133715425E-15</c:v>
                </c:pt>
                <c:pt idx="125">
                  <c:v>1.1298253133715425E-15</c:v>
                </c:pt>
                <c:pt idx="126">
                  <c:v>1.1298253133715425E-15</c:v>
                </c:pt>
                <c:pt idx="127">
                  <c:v>1.1298253133715425E-15</c:v>
                </c:pt>
                <c:pt idx="128">
                  <c:v>1.1298253133715425E-15</c:v>
                </c:pt>
                <c:pt idx="129">
                  <c:v>1.1298253133715425E-15</c:v>
                </c:pt>
                <c:pt idx="130">
                  <c:v>1.1298253133715425E-15</c:v>
                </c:pt>
                <c:pt idx="131">
                  <c:v>1.1298253133715425E-15</c:v>
                </c:pt>
                <c:pt idx="132">
                  <c:v>1.1298253133715425E-15</c:v>
                </c:pt>
                <c:pt idx="133">
                  <c:v>1.1298253133715425E-15</c:v>
                </c:pt>
                <c:pt idx="134">
                  <c:v>1.1298253133715425E-15</c:v>
                </c:pt>
                <c:pt idx="135">
                  <c:v>1.1298253133715425E-15</c:v>
                </c:pt>
                <c:pt idx="136">
                  <c:v>1.1298253133715425E-15</c:v>
                </c:pt>
                <c:pt idx="137">
                  <c:v>1.1298253133715425E-15</c:v>
                </c:pt>
                <c:pt idx="138">
                  <c:v>1.1298253133715425E-15</c:v>
                </c:pt>
                <c:pt idx="139">
                  <c:v>1.1298253133715425E-15</c:v>
                </c:pt>
                <c:pt idx="140">
                  <c:v>1.1298253133715425E-15</c:v>
                </c:pt>
                <c:pt idx="141">
                  <c:v>1.1298253133715425E-15</c:v>
                </c:pt>
                <c:pt idx="142">
                  <c:v>1.1298253133715425E-15</c:v>
                </c:pt>
                <c:pt idx="143">
                  <c:v>1.1298253133715425E-15</c:v>
                </c:pt>
              </c:numCache>
            </c:numRef>
          </c:yVal>
          <c:smooth val="1"/>
          <c:extLst>
            <c:ext xmlns:c16="http://schemas.microsoft.com/office/drawing/2014/chart" uri="{C3380CC4-5D6E-409C-BE32-E72D297353CC}">
              <c16:uniqueId val="{00000003-F697-4FEF-8F5B-C38DEE84F827}"/>
            </c:ext>
          </c:extLst>
        </c:ser>
        <c:ser>
          <c:idx val="4"/>
          <c:order val="4"/>
          <c:tx>
            <c:v>Total</c:v>
          </c:tx>
          <c:spPr>
            <a:ln w="12700">
              <a:solidFill>
                <a:srgbClr val="8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Calcs!$AH$14:$AH$157</c:f>
              <c:numCache>
                <c:formatCode>0.00E+00</c:formatCode>
                <c:ptCount val="144"/>
                <c:pt idx="0">
                  <c:v>2.7017125925417069E-2</c:v>
                </c:pt>
                <c:pt idx="1">
                  <c:v>2.7019014893679763E-2</c:v>
                </c:pt>
                <c:pt idx="2">
                  <c:v>2.7021079416617733E-2</c:v>
                </c:pt>
                <c:pt idx="3">
                  <c:v>2.7023335821017395E-2</c:v>
                </c:pt>
                <c:pt idx="4">
                  <c:v>2.7025801949677603E-2</c:v>
                </c:pt>
                <c:pt idx="5">
                  <c:v>2.7028497307382247E-2</c:v>
                </c:pt>
                <c:pt idx="6">
                  <c:v>2.7031443216651602E-2</c:v>
                </c:pt>
                <c:pt idx="7">
                  <c:v>2.7034662984832977E-2</c:v>
                </c:pt>
                <c:pt idx="8">
                  <c:v>2.703818209120333E-2</c:v>
                </c:pt>
                <c:pt idx="9">
                  <c:v>2.7042028389728048E-2</c:v>
                </c:pt>
                <c:pt idx="10">
                  <c:v>2.7046232330711427E-2</c:v>
                </c:pt>
                <c:pt idx="11">
                  <c:v>2.7050827204682687E-2</c:v>
                </c:pt>
                <c:pt idx="12">
                  <c:v>2.7055849406985768E-2</c:v>
                </c:pt>
                <c:pt idx="13">
                  <c:v>2.7061338730095801E-2</c:v>
                </c:pt>
                <c:pt idx="14">
                  <c:v>2.7067338681462241E-2</c:v>
                </c:pt>
                <c:pt idx="15">
                  <c:v>2.7073896832420164E-2</c:v>
                </c:pt>
                <c:pt idx="16">
                  <c:v>2.7081065200313618E-2</c:v>
                </c:pt>
                <c:pt idx="17">
                  <c:v>2.7088900666119575E-2</c:v>
                </c:pt>
                <c:pt idx="18">
                  <c:v>2.7097465432923771E-2</c:v>
                </c:pt>
                <c:pt idx="19">
                  <c:v>2.7106827527587193E-2</c:v>
                </c:pt>
                <c:pt idx="20">
                  <c:v>2.7117061350422272E-2</c:v>
                </c:pt>
                <c:pt idx="21">
                  <c:v>2.7128248277961623E-2</c:v>
                </c:pt>
                <c:pt idx="22">
                  <c:v>2.714047732351817E-2</c:v>
                </c:pt>
                <c:pt idx="23">
                  <c:v>2.7153845861540255E-2</c:v>
                </c:pt>
                <c:pt idx="24">
                  <c:v>2.7168460422349192E-2</c:v>
                </c:pt>
                <c:pt idx="25">
                  <c:v>2.7184437564066459E-2</c:v>
                </c:pt>
                <c:pt idx="26">
                  <c:v>2.720190482958167E-2</c:v>
                </c:pt>
                <c:pt idx="27">
                  <c:v>2.7221001797554059E-2</c:v>
                </c:pt>
                <c:pt idx="28">
                  <c:v>2.7241881236824275E-2</c:v>
                </c:pt>
                <c:pt idx="29">
                  <c:v>2.7264710375133831E-2</c:v>
                </c:pt>
                <c:pt idx="30">
                  <c:v>2.7289672294097869E-2</c:v>
                </c:pt>
                <c:pt idx="31">
                  <c:v>2.731696746375499E-2</c:v>
                </c:pt>
                <c:pt idx="32">
                  <c:v>2.7346815431625954E-2</c:v>
                </c:pt>
                <c:pt idx="33">
                  <c:v>2.7379456682898023E-2</c:v>
                </c:pt>
                <c:pt idx="34">
                  <c:v>2.7415154690357785E-2</c:v>
                </c:pt>
                <c:pt idx="35">
                  <c:v>2.7454198174964532E-2</c:v>
                </c:pt>
                <c:pt idx="36">
                  <c:v>2.7496903600520414E-2</c:v>
                </c:pt>
                <c:pt idx="37">
                  <c:v>2.754361792873147E-2</c:v>
                </c:pt>
                <c:pt idx="38">
                  <c:v>2.7594721664361482E-2</c:v>
                </c:pt>
                <c:pt idx="39">
                  <c:v>2.7650632223910742E-2</c:v>
                </c:pt>
                <c:pt idx="40">
                  <c:v>2.7711807665608469E-2</c:v>
                </c:pt>
                <c:pt idx="41">
                  <c:v>2.7778750823417835E-2</c:v>
                </c:pt>
                <c:pt idx="42">
                  <c:v>2.7852013893478418E-2</c:v>
                </c:pt>
                <c:pt idx="43">
                  <c:v>2.7932203527880339E-2</c:v>
                </c:pt>
                <c:pt idx="44">
                  <c:v>2.8019986498152905E-2</c:v>
                </c:pt>
                <c:pt idx="45">
                  <c:v>2.8116095999414042E-2</c:v>
                </c:pt>
                <c:pt idx="46">
                  <c:v>2.8221338676011398E-2</c:v>
                </c:pt>
                <c:pt idx="47">
                  <c:v>2.8336602460799578E-2</c:v>
                </c:pt>
                <c:pt idx="48">
                  <c:v>2.8462865333235682E-2</c:v>
                </c:pt>
                <c:pt idx="49">
                  <c:v>2.8601205116452564E-2</c:v>
                </c:pt>
                <c:pt idx="50">
                  <c:v>2.8752810450644525E-2</c:v>
                </c:pt>
                <c:pt idx="51">
                  <c:v>2.8918993099826127E-2</c:v>
                </c:pt>
                <c:pt idx="52">
                  <c:v>2.9101201771589022E-2</c:v>
                </c:pt>
                <c:pt idx="53">
                  <c:v>2.9301037655259241E-2</c:v>
                </c:pt>
                <c:pt idx="54">
                  <c:v>2.9520271913224264E-2</c:v>
                </c:pt>
                <c:pt idx="55">
                  <c:v>2.976086539349641E-2</c:v>
                </c:pt>
                <c:pt idx="56">
                  <c:v>3.0024990869175518E-2</c:v>
                </c:pt>
                <c:pt idx="57">
                  <c:v>3.031505815262581E-2</c:v>
                </c:pt>
                <c:pt idx="58">
                  <c:v>3.0633742479074109E-2</c:v>
                </c:pt>
                <c:pt idx="59">
                  <c:v>3.0984016605940076E-2</c:v>
                </c:pt>
                <c:pt idx="60">
                  <c:v>3.1369187130223165E-2</c:v>
                </c:pt>
                <c:pt idx="61">
                  <c:v>3.1792935585954106E-2</c:v>
                </c:pt>
                <c:pt idx="62">
                  <c:v>3.2259364945718703E-2</c:v>
                </c:pt>
                <c:pt idx="63">
                  <c:v>3.2773052212355207E-2</c:v>
                </c:pt>
                <c:pt idx="64">
                  <c:v>3.3339107845700329E-2</c:v>
                </c:pt>
                <c:pt idx="65">
                  <c:v>3.3963242819713635E-2</c:v>
                </c:pt>
                <c:pt idx="66">
                  <c:v>3.4651844140368031E-2</c:v>
                </c:pt>
                <c:pt idx="67">
                  <c:v>3.541205966465031E-2</c:v>
                </c:pt>
                <c:pt idx="68">
                  <c:v>3.6251893032941171E-2</c:v>
                </c:pt>
                <c:pt idx="69">
                  <c:v>3.7180309444258604E-2</c:v>
                </c:pt>
                <c:pt idx="70">
                  <c:v>3.8207352845582798E-2</c:v>
                </c:pt>
                <c:pt idx="71">
                  <c:v>3.9344274848043113E-2</c:v>
                </c:pt>
                <c:pt idx="72">
                  <c:v>4.0603675296576179E-2</c:v>
                </c:pt>
                <c:pt idx="73">
                  <c:v>4.1999653877967613E-2</c:v>
                </c:pt>
                <c:pt idx="74">
                  <c:v>4.354797143200112E-2</c:v>
                </c:pt>
                <c:pt idx="75">
                  <c:v>4.5266218722253636E-2</c:v>
                </c:pt>
                <c:pt idx="76">
                  <c:v>4.7173989344232607E-2</c:v>
                </c:pt>
                <c:pt idx="77">
                  <c:v>4.9293052262179823E-2</c:v>
                </c:pt>
                <c:pt idx="78">
                  <c:v>5.1647518305078792E-2</c:v>
                </c:pt>
                <c:pt idx="79">
                  <c:v>5.4263994046724093E-2</c:v>
                </c:pt>
                <c:pt idx="80">
                  <c:v>5.7171716191042207E-2</c:v>
                </c:pt>
                <c:pt idx="81">
                  <c:v>6.0402660347373904E-2</c:v>
                </c:pt>
                <c:pt idx="82">
                  <c:v>6.3991620452702888E-2</c:v>
                </c:pt>
                <c:pt idx="83">
                  <c:v>6.7976259584433332E-2</c:v>
                </c:pt>
                <c:pt idx="84">
                  <c:v>7.2397139773351896E-2</c:v>
                </c:pt>
                <c:pt idx="85">
                  <c:v>7.7297747406747511E-2</c:v>
                </c:pt>
                <c:pt idx="86">
                  <c:v>8.2724540803868568E-2</c:v>
                </c:pt>
                <c:pt idx="87">
                  <c:v>8.8727055438266519E-2</c:v>
                </c:pt>
                <c:pt idx="88">
                  <c:v>9.5358107137547513E-2</c:v>
                </c:pt>
                <c:pt idx="89">
                  <c:v>0.10267413138262178</c:v>
                </c:pt>
                <c:pt idx="90">
                  <c:v>0.1107356857032309</c:v>
                </c:pt>
                <c:pt idx="91">
                  <c:v>0.11960812284990344</c:v>
                </c:pt>
                <c:pt idx="92">
                  <c:v>0.12936241898655018</c:v>
                </c:pt>
                <c:pt idx="93">
                  <c:v>0.14007612035438013</c:v>
                </c:pt>
                <c:pt idx="94">
                  <c:v>0.15183436086650084</c:v>
                </c:pt>
                <c:pt idx="95">
                  <c:v>0.16473090634411605</c:v>
                </c:pt>
                <c:pt idx="96">
                  <c:v>0.17886919798857404</c:v>
                </c:pt>
                <c:pt idx="97">
                  <c:v>0.19436339246323428</c:v>
                </c:pt>
                <c:pt idx="98">
                  <c:v>0.21133942024665017</c:v>
                </c:pt>
                <c:pt idx="99">
                  <c:v>0.22993610044280272</c:v>
                </c:pt>
                <c:pt idx="100">
                  <c:v>0.25030635586047134</c:v>
                </c:pt>
                <c:pt idx="101">
                  <c:v>0.27261856861041561</c:v>
                </c:pt>
                <c:pt idx="102">
                  <c:v>0.29705810854325804</c:v>
                </c:pt>
                <c:pt idx="103">
                  <c:v>0.32382905965126013</c:v>
                </c:pt>
                <c:pt idx="104">
                  <c:v>0.35315616619056506</c:v>
                </c:pt>
                <c:pt idx="105">
                  <c:v>0.38528702128663217</c:v>
                </c:pt>
                <c:pt idx="106">
                  <c:v>0.42049452501454682</c:v>
                </c:pt>
                <c:pt idx="107">
                  <c:v>0.45907964489861214</c:v>
                </c:pt>
                <c:pt idx="108">
                  <c:v>0.50137451849208647</c:v>
                </c:pt>
                <c:pt idx="109">
                  <c:v>0.54774594492916384</c:v>
                </c:pt>
                <c:pt idx="110">
                  <c:v>0.59859932029230745</c:v>
                </c:pt>
                <c:pt idx="111">
                  <c:v>0.65438308067033457</c:v>
                </c:pt>
                <c:pt idx="112">
                  <c:v>0.71559372726234738</c:v>
                </c:pt>
                <c:pt idx="113">
                  <c:v>0.78278152015908431</c:v>
                </c:pt>
                <c:pt idx="114">
                  <c:v>0.85655694186995857</c:v>
                </c:pt>
                <c:pt idx="115">
                  <c:v>0.93759804867161922</c:v>
                </c:pt>
                <c:pt idx="116">
                  <c:v>1.0266588479141963</c:v>
                </c:pt>
                <c:pt idx="117">
                  <c:v>1.124578863106303</c:v>
                </c:pt>
                <c:pt idx="118">
                  <c:v>1.2322940765897361</c:v>
                </c:pt>
                <c:pt idx="119">
                  <c:v>1.3508494727196645</c:v>
                </c:pt>
                <c:pt idx="120">
                  <c:v>1.4814134436508863</c:v>
                </c:pt>
                <c:pt idx="121">
                  <c:v>1.6252943662449171</c:v>
                </c:pt>
                <c:pt idx="122">
                  <c:v>1.7839597136262475</c:v>
                </c:pt>
                <c:pt idx="123">
                  <c:v>1.9590581301618251</c:v>
                </c:pt>
                <c:pt idx="124">
                  <c:v>2.1524449760623692</c:v>
                </c:pt>
                <c:pt idx="125">
                  <c:v>2.366211939728367</c:v>
                </c:pt>
                <c:pt idx="126">
                  <c:v>2.6027214251555635</c:v>
                </c:pt>
                <c:pt idx="127">
                  <c:v>2.8646465514754311</c:v>
                </c:pt>
                <c:pt idx="128">
                  <c:v>3.1550177559734087</c:v>
                </c:pt>
                <c:pt idx="129">
                  <c:v>3.4772771753991014</c:v>
                </c:pt>
                <c:pt idx="130">
                  <c:v>3.8353421986629068</c:v>
                </c:pt>
                <c:pt idx="131">
                  <c:v>4.2336798437900534</c:v>
                </c:pt>
                <c:pt idx="132">
                  <c:v>4.6773939212561348</c:v>
                </c:pt>
                <c:pt idx="133">
                  <c:v>5.1723273140813539</c:v>
                </c:pt>
                <c:pt idx="134">
                  <c:v>5.7251821436801036</c:v>
                </c:pt>
                <c:pt idx="135">
                  <c:v>6.3436611130144955</c:v>
                </c:pt>
                <c:pt idx="136">
                  <c:v>7.0366339412781462</c:v>
                </c:pt>
                <c:pt idx="137">
                  <c:v>7.8143335464697987</c:v>
                </c:pt>
                <c:pt idx="138">
                  <c:v>8.6885875168802364</c:v>
                </c:pt>
                <c:pt idx="139">
                  <c:v>9.6730914672580486</c:v>
                </c:pt>
                <c:pt idx="140">
                  <c:v>10.783732133128078</c:v>
                </c:pt>
                <c:pt idx="141">
                  <c:v>12.038969556676333</c:v>
                </c:pt>
                <c:pt idx="142">
                  <c:v>13.460289506667772</c:v>
                </c:pt>
                <c:pt idx="143">
                  <c:v>15.0727394090051</c:v>
                </c:pt>
              </c:numCache>
            </c:numRef>
          </c:yVal>
          <c:smooth val="1"/>
          <c:extLst>
            <c:ext xmlns:c16="http://schemas.microsoft.com/office/drawing/2014/chart" uri="{C3380CC4-5D6E-409C-BE32-E72D297353CC}">
              <c16:uniqueId val="{00000004-F697-4FEF-8F5B-C38DEE84F827}"/>
            </c:ext>
          </c:extLst>
        </c:ser>
        <c:dLbls>
          <c:showLegendKey val="0"/>
          <c:showVal val="0"/>
          <c:showCatName val="0"/>
          <c:showSerName val="0"/>
          <c:showPercent val="0"/>
          <c:showBubbleSize val="0"/>
        </c:dLbls>
        <c:axId val="460317528"/>
        <c:axId val="460317920"/>
      </c:scatterChart>
      <c:valAx>
        <c:axId val="460317528"/>
        <c:scaling>
          <c:logBase val="10"/>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(Hz)</a:t>
                </a:r>
              </a:p>
            </c:rich>
          </c:tx>
          <c:layout>
            <c:manualLayout>
              <c:xMode val="edge"/>
              <c:yMode val="edge"/>
              <c:x val="0.44624745068195454"/>
              <c:y val="0.906166359471524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60317920"/>
        <c:crossesAt val="1.0000000000000001E-30"/>
        <c:crossBetween val="midCat"/>
      </c:valAx>
      <c:valAx>
        <c:axId val="460317920"/>
        <c:scaling>
          <c:logBase val="10"/>
          <c:orientation val="minMax"/>
          <c:min val="1E-3"/>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Loss (dB/meter)</a:t>
                </a:r>
              </a:p>
            </c:rich>
          </c:tx>
          <c:layout>
            <c:manualLayout>
              <c:xMode val="edge"/>
              <c:yMode val="edge"/>
              <c:x val="2.6369179154723005E-2"/>
              <c:y val="0.3458443915607719"/>
            </c:manualLayout>
          </c:layout>
          <c:overlay val="0"/>
          <c:spPr>
            <a:noFill/>
            <a:ln w="25400">
              <a:noFill/>
            </a:ln>
          </c:spPr>
        </c:title>
        <c:numFmt formatCode="0.00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60317528"/>
        <c:crossesAt val="1.0000000000000001E-30"/>
        <c:crossBetween val="midCat"/>
      </c:valAx>
      <c:spPr>
        <a:noFill/>
        <a:ln w="12700">
          <a:solidFill>
            <a:srgbClr val="808080"/>
          </a:solidFill>
          <a:prstDash val="solid"/>
        </a:ln>
      </c:spPr>
    </c:plotArea>
    <c:legend>
      <c:legendPos val="r"/>
      <c:layout>
        <c:manualLayout>
          <c:xMode val="edge"/>
          <c:yMode val="edge"/>
          <c:x val="0.21703857928938067"/>
          <c:y val="0.174262837233121"/>
          <c:w val="0.30831640885674294"/>
          <c:h val="0.2707774791379917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Calculated coax cable loss from all sources
Both axes on linear scales</a:t>
            </a:r>
          </a:p>
        </c:rich>
      </c:tx>
      <c:layout>
        <c:manualLayout>
          <c:xMode val="edge"/>
          <c:yMode val="edge"/>
          <c:x val="0.25354966853009803"/>
          <c:y val="1.8766728105695022E-2"/>
        </c:manualLayout>
      </c:layout>
      <c:overlay val="0"/>
      <c:spPr>
        <a:noFill/>
        <a:ln w="25400">
          <a:noFill/>
        </a:ln>
      </c:spPr>
    </c:title>
    <c:autoTitleDeleted val="0"/>
    <c:plotArea>
      <c:layout>
        <c:manualLayout>
          <c:layoutTarget val="inner"/>
          <c:xMode val="edge"/>
          <c:yMode val="edge"/>
          <c:x val="0.12981744421906694"/>
          <c:y val="0.1581769436997319"/>
          <c:w val="0.74847870182555776"/>
          <c:h val="0.66756032171581769"/>
        </c:manualLayout>
      </c:layout>
      <c:scatterChart>
        <c:scatterStyle val="smoothMarker"/>
        <c:varyColors val="0"/>
        <c:ser>
          <c:idx val="0"/>
          <c:order val="0"/>
          <c:tx>
            <c:v>Outside conductor</c:v>
          </c:tx>
          <c:spPr>
            <a:ln w="12700">
              <a:solidFill>
                <a:srgbClr val="00008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Calcs!$Q$13:$Q$157</c:f>
              <c:numCache>
                <c:formatCode>0.00E+00</c:formatCode>
                <c:ptCount val="145"/>
                <c:pt idx="0">
                  <c:v>3.4646403429960562E-3</c:v>
                </c:pt>
                <c:pt idx="1">
                  <c:v>3.4680980432269595E-3</c:v>
                </c:pt>
                <c:pt idx="2">
                  <c:v>3.4684193611477271E-3</c:v>
                </c:pt>
                <c:pt idx="3">
                  <c:v>3.4687705508721855E-3</c:v>
                </c:pt>
                <c:pt idx="4">
                  <c:v>3.4691543918783999E-3</c:v>
                </c:pt>
                <c:pt idx="5">
                  <c:v>3.4695739226873771E-3</c:v>
                </c:pt>
                <c:pt idx="6">
                  <c:v>3.4700324652330544E-3</c:v>
                </c:pt>
                <c:pt idx="7">
                  <c:v>3.4705336512250748E-3</c:v>
                </c:pt>
                <c:pt idx="8">
                  <c:v>3.4710814512671248E-3</c:v>
                </c:pt>
                <c:pt idx="9">
                  <c:v>3.4716802066348212E-3</c:v>
                </c:pt>
                <c:pt idx="10">
                  <c:v>3.4723346640461164E-3</c:v>
                </c:pt>
                <c:pt idx="11">
                  <c:v>3.4730500137423034E-3</c:v>
                </c:pt>
                <c:pt idx="12">
                  <c:v>3.4738319311735199E-3</c:v>
                </c:pt>
                <c:pt idx="13">
                  <c:v>3.4746866227183754E-3</c:v>
                </c:pt>
                <c:pt idx="14">
                  <c:v>3.47562087569467E-3</c:v>
                </c:pt>
                <c:pt idx="15">
                  <c:v>3.4766421131673642E-3</c:v>
                </c:pt>
                <c:pt idx="16">
                  <c:v>3.4777584540612383E-3</c:v>
                </c:pt>
                <c:pt idx="17">
                  <c:v>3.4789787790021594E-3</c:v>
                </c:pt>
                <c:pt idx="18">
                  <c:v>3.4803128025528659E-3</c:v>
                </c:pt>
                <c:pt idx="19">
                  <c:v>3.4817711524101655E-3</c:v>
                </c:pt>
                <c:pt idx="20">
                  <c:v>3.483365456329773E-3</c:v>
                </c:pt>
                <c:pt idx="21">
                  <c:v>3.4851084375073747E-3</c:v>
                </c:pt>
                <c:pt idx="22">
                  <c:v>3.4870140193170892E-3</c:v>
                </c:pt>
                <c:pt idx="23">
                  <c:v>3.4890974403599183E-3</c:v>
                </c:pt>
                <c:pt idx="24">
                  <c:v>3.4913753808804332E-3</c:v>
                </c:pt>
                <c:pt idx="25">
                  <c:v>3.493866101766148E-3</c:v>
                </c:pt>
                <c:pt idx="26">
                  <c:v>3.4965895974414679E-3</c:v>
                </c:pt>
                <c:pt idx="27">
                  <c:v>3.4995677641386884E-3</c:v>
                </c:pt>
                <c:pt idx="28">
                  <c:v>3.5028245852211904E-3</c:v>
                </c:pt>
                <c:pt idx="29">
                  <c:v>3.5063863353986769E-3</c:v>
                </c:pt>
                <c:pt idx="30">
                  <c:v>3.5102818059258916E-3</c:v>
                </c:pt>
                <c:pt idx="31">
                  <c:v>3.5145425531280935E-3</c:v>
                </c:pt>
                <c:pt idx="32">
                  <c:v>3.5192031728828897E-3</c:v>
                </c:pt>
                <c:pt idx="33">
                  <c:v>3.5243016040342029E-3</c:v>
                </c:pt>
                <c:pt idx="34">
                  <c:v>3.5298794640924364E-3</c:v>
                </c:pt>
                <c:pt idx="35">
                  <c:v>3.5359824210192759E-3</c:v>
                </c:pt>
                <c:pt idx="36">
                  <c:v>3.5426606054059246E-3</c:v>
                </c:pt>
                <c:pt idx="37">
                  <c:v>3.5499690679372583E-3</c:v>
                </c:pt>
                <c:pt idx="38">
                  <c:v>3.5579682877122602E-3</c:v>
                </c:pt>
                <c:pt idx="39">
                  <c:v>3.5667247377758754E-3</c:v>
                </c:pt>
                <c:pt idx="40">
                  <c:v>3.5763115151230904E-3</c:v>
                </c:pt>
                <c:pt idx="41">
                  <c:v>3.5868090434907018E-3</c:v>
                </c:pt>
                <c:pt idx="42">
                  <c:v>3.5983058584780833E-3</c:v>
                </c:pt>
                <c:pt idx="43">
                  <c:v>3.6108994859638086E-3</c:v>
                </c:pt>
                <c:pt idx="44">
                  <c:v>3.6246974264480055E-3</c:v>
                </c:pt>
                <c:pt idx="45">
                  <c:v>3.63981825989502E-3</c:v>
                </c:pt>
                <c:pt idx="46">
                  <c:v>3.6563928879178192E-3</c:v>
                </c:pt>
                <c:pt idx="47">
                  <c:v>3.6745659328025226E-3</c:v>
                </c:pt>
                <c:pt idx="48">
                  <c:v>3.6944973159805366E-3</c:v>
                </c:pt>
                <c:pt idx="49">
                  <c:v>3.7163640421971904E-3</c:v>
                </c:pt>
                <c:pt idx="50">
                  <c:v>3.7403622198930037E-3</c:v>
                </c:pt>
                <c:pt idx="51">
                  <c:v>3.7667093533141674E-3</c:v>
                </c:pt>
                <c:pt idx="52">
                  <c:v>3.7956469477254226E-3</c:v>
                </c:pt>
                <c:pt idx="53">
                  <c:v>3.8274434759542624E-3</c:v>
                </c:pt>
                <c:pt idx="54">
                  <c:v>3.8623977625093439E-3</c:v>
                </c:pt>
                <c:pt idx="55">
                  <c:v>3.9008428508683947E-3</c:v>
                </c:pt>
                <c:pt idx="56">
                  <c:v>3.9431504304170122E-3</c:v>
                </c:pt>
                <c:pt idx="57">
                  <c:v>3.9897359121475245E-3</c:v>
                </c:pt>
                <c:pt idx="58">
                  <c:v>4.0410642568098438E-3</c:v>
                </c:pt>
                <c:pt idx="59">
                  <c:v>4.0976566759454739E-3</c:v>
                </c:pt>
                <c:pt idx="60">
                  <c:v>4.1600983453002486E-3</c:v>
                </c:pt>
                <c:pt idx="61">
                  <c:v>4.2290472915993077E-3</c:v>
                </c:pt>
                <c:pt idx="62">
                  <c:v>4.3052446375526875E-3</c:v>
                </c:pt>
                <c:pt idx="63">
                  <c:v>4.3895264160102787E-3</c:v>
                </c:pt>
                <c:pt idx="64">
                  <c:v>4.482837191847033E-3</c:v>
                </c:pt>
                <c:pt idx="65">
                  <c:v>4.586245758396887E-3</c:v>
                </c:pt>
                <c:pt idx="66">
                  <c:v>4.7009632023222005E-3</c:v>
                </c:pt>
                <c:pt idx="67">
                  <c:v>4.8283636539532973E-3</c:v>
                </c:pt>
                <c:pt idx="68">
                  <c:v>4.9700080552153234E-3</c:v>
                </c:pt>
                <c:pt idx="69">
                  <c:v>5.1276712782579136E-3</c:v>
                </c:pt>
                <c:pt idx="70">
                  <c:v>5.3033729063674271E-3</c:v>
                </c:pt>
                <c:pt idx="71">
                  <c:v>5.4994119332071037E-3</c:v>
                </c:pt>
                <c:pt idx="72">
                  <c:v>5.7184055319315875E-3</c:v>
                </c:pt>
                <c:pt idx="73">
                  <c:v>5.9633318736336339E-3</c:v>
                </c:pt>
                <c:pt idx="74">
                  <c:v>6.2375767131932196E-3</c:v>
                </c:pt>
                <c:pt idx="75">
                  <c:v>6.5449830870751404E-3</c:v>
                </c:pt>
                <c:pt idx="76">
                  <c:v>6.8899029622603632E-3</c:v>
                </c:pt>
                <c:pt idx="77">
                  <c:v>7.2772490295183413E-3</c:v>
                </c:pt>
                <c:pt idx="78">
                  <c:v>7.7125440623337883E-3</c:v>
                </c:pt>
                <c:pt idx="79">
                  <c:v>8.2019644212994233E-3</c:v>
                </c:pt>
                <c:pt idx="80">
                  <c:v>8.752373493441554E-3</c:v>
                </c:pt>
                <c:pt idx="81">
                  <c:v>9.3713403252583365E-3</c:v>
                </c:pt>
                <c:pt idx="82">
                  <c:v>1.0067138746994797E-2</c:v>
                </c:pt>
                <c:pt idx="83">
                  <c:v>1.0848723290688103E-2</c:v>
                </c:pt>
                <c:pt idx="84">
                  <c:v>1.1725680592799329E-2</c:v>
                </c:pt>
                <c:pt idx="85">
                  <c:v>1.2708159037320907E-2</c:v>
                </c:pt>
                <c:pt idx="86">
                  <c:v>1.3806785082097943E-2</c:v>
                </c:pt>
                <c:pt idx="87">
                  <c:v>1.5032581353647826E-2</c:v>
                </c:pt>
                <c:pt idx="88">
                  <c:v>1.6396907735591045E-2</c:v>
                </c:pt>
                <c:pt idx="89">
                  <c:v>1.7911450149300626E-2</c:v>
                </c:pt>
                <c:pt idx="90">
                  <c:v>1.9588280197644033E-2</c:v>
                </c:pt>
                <c:pt idx="91">
                  <c:v>2.1440000802397489E-2</c:v>
                </c:pt>
                <c:pt idx="92">
                  <c:v>2.3479978870187178E-2</c:v>
                </c:pt>
                <c:pt idx="93">
                  <c:v>2.5722648951296744E-2</c:v>
                </c:pt>
                <c:pt idx="94">
                  <c:v>2.8183857006080029E-2</c:v>
                </c:pt>
                <c:pt idx="95">
                  <c:v>3.0881206219969266E-2</c:v>
                </c:pt>
                <c:pt idx="96">
                  <c:v>3.3834370506840773E-2</c:v>
                </c:pt>
                <c:pt idx="97">
                  <c:v>3.7065355027200424E-2</c:v>
                </c:pt>
                <c:pt idx="98">
                  <c:v>4.0598701834837415E-2</c:v>
                </c:pt>
                <c:pt idx="99">
                  <c:v>4.4461655906783852E-2</c:v>
                </c:pt>
                <c:pt idx="100">
                  <c:v>4.8684316796735183E-2</c:v>
                </c:pt>
                <c:pt idx="101">
                  <c:v>5.3299802037307109E-2</c:v>
                </c:pt>
                <c:pt idx="102">
                  <c:v>5.834444216608644E-2</c:v>
                </c:pt>
                <c:pt idx="103">
                  <c:v>6.3858018118618187E-2</c:v>
                </c:pt>
                <c:pt idx="104">
                  <c:v>6.9884043841467139E-2</c:v>
                </c:pt>
                <c:pt idx="105">
                  <c:v>7.6470092555152053E-2</c:v>
                </c:pt>
                <c:pt idx="106">
                  <c:v>8.3668164148506877E-2</c:v>
                </c:pt>
                <c:pt idx="107">
                  <c:v>9.1535092385042136E-2</c:v>
                </c:pt>
                <c:pt idx="108">
                  <c:v>0.10013299246906837</c:v>
                </c:pt>
                <c:pt idx="109">
                  <c:v>0.10952975114627309</c:v>
                </c:pt>
                <c:pt idx="110">
                  <c:v>0.11979956263986771</c:v>
                </c:pt>
                <c:pt idx="111">
                  <c:v>0.13102351445786678</c:v>
                </c:pt>
                <c:pt idx="112">
                  <c:v>0.14329022764140645</c:v>
                </c:pt>
                <c:pt idx="113">
                  <c:v>0.15669655649664482</c:v>
                </c:pt>
                <c:pt idx="114">
                  <c:v>0.17134835333292361</c:v>
                </c:pt>
                <c:pt idx="115">
                  <c:v>0.18736130424516928</c:v>
                </c:pt>
                <c:pt idx="116">
                  <c:v>0.20486184253974468</c:v>
                </c:pt>
                <c:pt idx="117">
                  <c:v>0.22398814701602282</c:v>
                </c:pt>
                <c:pt idx="118">
                  <c:v>0.24489123298592655</c:v>
                </c:pt>
                <c:pt idx="119">
                  <c:v>0.26773614464588907</c:v>
                </c:pt>
                <c:pt idx="120">
                  <c:v>0.29270325821591736</c:v>
                </c:pt>
                <c:pt idx="121">
                  <c:v>0.31998970613501054</c:v>
                </c:pt>
                <c:pt idx="122">
                  <c:v>0.34981093355799225</c:v>
                </c:pt>
                <c:pt idx="123">
                  <c:v>0.38240239944341825</c:v>
                </c:pt>
                <c:pt idx="124">
                  <c:v>0.41802143566385269</c:v>
                </c:pt>
                <c:pt idx="125">
                  <c:v>0.4569492788175013</c:v>
                </c:pt>
                <c:pt idx="126">
                  <c:v>0.49949329078376553</c:v>
                </c:pt>
                <c:pt idx="127">
                  <c:v>0.5459893855555521</c:v>
                </c:pt>
                <c:pt idx="128">
                  <c:v>0.59680468150985388</c:v>
                </c:pt>
                <c:pt idx="129">
                  <c:v>0.65234040005810634</c:v>
                </c:pt>
                <c:pt idx="130">
                  <c:v>0.71303503356315767</c:v>
                </c:pt>
                <c:pt idx="131">
                  <c:v>0.77936780753573009</c:v>
                </c:pt>
                <c:pt idx="132">
                  <c:v>0.85186246444678482</c:v>
                </c:pt>
                <c:pt idx="133">
                  <c:v>0.93109139903157712</c:v>
                </c:pt>
                <c:pt idx="134">
                  <c:v>1.0176801777364581</c:v>
                </c:pt>
                <c:pt idx="135">
                  <c:v>1.1123124779925375</c:v>
                </c:pt>
                <c:pt idx="136">
                  <c:v>1.2157354863151519</c:v>
                </c:pt>
                <c:pt idx="137">
                  <c:v>1.3287657978508098</c:v>
                </c:pt>
                <c:pt idx="138">
                  <c:v>1.4522958639525705</c:v>
                </c:pt>
                <c:pt idx="139">
                  <c:v>1.587301038691858</c:v>
                </c:pt>
                <c:pt idx="140">
                  <c:v>1.7348472799437253</c:v>
                </c:pt>
                <c:pt idx="141">
                  <c:v>1.8960995658508899</c:v>
                </c:pt>
                <c:pt idx="142">
                  <c:v>2.0723310931202703</c:v>
                </c:pt>
                <c:pt idx="143">
                  <c:v>2.2649333297788261</c:v>
                </c:pt>
                <c:pt idx="144">
                  <c:v>2.4754270017620885</c:v>
                </c:pt>
              </c:numCache>
            </c:numRef>
          </c:yVal>
          <c:smooth val="1"/>
          <c:extLst>
            <c:ext xmlns:c16="http://schemas.microsoft.com/office/drawing/2014/chart" uri="{C3380CC4-5D6E-409C-BE32-E72D297353CC}">
              <c16:uniqueId val="{00000000-C867-4BEA-A27C-9C54FEBE56F4}"/>
            </c:ext>
          </c:extLst>
        </c:ser>
        <c:ser>
          <c:idx val="1"/>
          <c:order val="1"/>
          <c:tx>
            <c:v>Inside conductor</c:v>
          </c:tx>
          <c:spPr>
            <a:ln w="12700">
              <a:solidFill>
                <a:srgbClr val="FF00FF"/>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Calcs!$R$13:$R$157</c:f>
              <c:numCache>
                <c:formatCode>0.00E+00</c:formatCode>
                <c:ptCount val="145"/>
                <c:pt idx="0">
                  <c:v>2.3532155390885195E-2</c:v>
                </c:pt>
                <c:pt idx="1">
                  <c:v>2.3549027842618215E-2</c:v>
                </c:pt>
                <c:pt idx="2">
                  <c:v>2.3550595485266976E-2</c:v>
                </c:pt>
                <c:pt idx="3">
                  <c:v>2.3552308809291652E-2</c:v>
                </c:pt>
                <c:pt idx="4">
                  <c:v>2.3554181361709808E-2</c:v>
                </c:pt>
                <c:pt idx="5">
                  <c:v>2.3556227946451985E-2</c:v>
                </c:pt>
                <c:pt idx="6">
                  <c:v>2.3558464745953293E-2</c:v>
                </c:pt>
                <c:pt idx="7">
                  <c:v>2.3560909450528883E-2</c:v>
                </c:pt>
                <c:pt idx="8">
                  <c:v>2.3563581396330555E-2</c:v>
                </c:pt>
                <c:pt idx="9">
                  <c:v>2.3566501720652774E-2</c:v>
                </c:pt>
                <c:pt idx="10">
                  <c:v>2.3569693529898666E-2</c:v>
                </c:pt>
                <c:pt idx="11">
                  <c:v>2.3573182083122791E-2</c:v>
                </c:pt>
                <c:pt idx="12">
                  <c:v>2.3576994994199723E-2</c:v>
                </c:pt>
                <c:pt idx="13">
                  <c:v>2.3581162450656105E-2</c:v>
                </c:pt>
                <c:pt idx="14">
                  <c:v>2.3585717455930879E-2</c:v>
                </c:pt>
                <c:pt idx="15">
                  <c:v>2.3590696092356086E-2</c:v>
                </c:pt>
                <c:pt idx="16">
                  <c:v>2.3596137809890512E-2</c:v>
                </c:pt>
                <c:pt idx="17">
                  <c:v>2.3602085742324235E-2</c:v>
                </c:pt>
                <c:pt idx="18">
                  <c:v>2.3608587052574112E-2</c:v>
                </c:pt>
                <c:pt idx="19">
                  <c:v>2.361569331185176E-2</c:v>
                </c:pt>
                <c:pt idx="20">
                  <c:v>2.362346091427299E-2</c:v>
                </c:pt>
                <c:pt idx="21">
                  <c:v>2.3631951530995069E-2</c:v>
                </c:pt>
                <c:pt idx="22">
                  <c:v>2.3641232608058393E-2</c:v>
                </c:pt>
                <c:pt idx="23">
                  <c:v>2.3651377911672922E-2</c:v>
                </c:pt>
                <c:pt idx="24">
                  <c:v>2.3662468125887556E-2</c:v>
                </c:pt>
                <c:pt idx="25">
                  <c:v>2.3674591508006947E-2</c:v>
                </c:pt>
                <c:pt idx="26">
                  <c:v>2.3687844607240934E-2</c:v>
                </c:pt>
                <c:pt idx="27">
                  <c:v>2.3702333052943066E-2</c:v>
                </c:pt>
                <c:pt idx="28">
                  <c:v>2.37181724197413E-2</c:v>
                </c:pt>
                <c:pt idx="29">
                  <c:v>2.3735489177080519E-2</c:v>
                </c:pt>
                <c:pt idx="30">
                  <c:v>2.3754421731962096E-2</c:v>
                </c:pt>
                <c:pt idx="31">
                  <c:v>2.3775121574458095E-2</c:v>
                </c:pt>
                <c:pt idx="32">
                  <c:v>2.37977545366648E-2</c:v>
                </c:pt>
                <c:pt idx="33">
                  <c:v>2.3822502177016314E-2</c:v>
                </c:pt>
                <c:pt idx="34">
                  <c:v>2.3849563303178788E-2</c:v>
                </c:pt>
                <c:pt idx="35">
                  <c:v>2.3879155648299434E-2</c:v>
                </c:pt>
                <c:pt idx="36">
                  <c:v>2.3911517717133374E-2</c:v>
                </c:pt>
                <c:pt idx="37">
                  <c:v>2.3946910820540453E-2</c:v>
                </c:pt>
                <c:pt idx="38">
                  <c:v>2.3985621318989861E-2</c:v>
                </c:pt>
                <c:pt idx="39">
                  <c:v>2.40279630983171E-2</c:v>
                </c:pt>
                <c:pt idx="40">
                  <c:v>2.4074280303782159E-2</c:v>
                </c:pt>
                <c:pt idx="41">
                  <c:v>2.412495036175618E-2</c:v>
                </c:pt>
                <c:pt idx="42">
                  <c:v>2.4180387322019666E-2</c:v>
                </c:pt>
                <c:pt idx="43">
                  <c:v>2.4241045557921927E-2</c:v>
                </c:pt>
                <c:pt idx="44">
                  <c:v>2.430742386641704E-2</c:v>
                </c:pt>
                <c:pt idx="45">
                  <c:v>2.4380070015487348E-2</c:v>
                </c:pt>
                <c:pt idx="46">
                  <c:v>2.4459585792704214E-2</c:v>
                </c:pt>
                <c:pt idx="47">
                  <c:v>2.4546632615834264E-2</c:v>
                </c:pt>
                <c:pt idx="48">
                  <c:v>2.464193777452154E-2</c:v>
                </c:pt>
                <c:pt idx="49">
                  <c:v>2.4746301381373667E-2</c:v>
                </c:pt>
                <c:pt idx="50">
                  <c:v>2.4860604121372476E-2</c:v>
                </c:pt>
                <c:pt idx="51">
                  <c:v>2.4985815900563986E-2</c:v>
                </c:pt>
                <c:pt idx="52">
                  <c:v>2.5123005508683967E-2</c:v>
                </c:pt>
                <c:pt idx="53">
                  <c:v>2.5273351425883554E-2</c:v>
                </c:pt>
                <c:pt idx="54">
                  <c:v>2.5438153921243253E-2</c:v>
                </c:pt>
                <c:pt idx="55">
                  <c:v>2.5618848610492372E-2</c:v>
                </c:pt>
                <c:pt idx="56">
                  <c:v>2.5817021662420305E-2</c:v>
                </c:pt>
                <c:pt idx="57">
                  <c:v>2.6034426868026726E-2</c:v>
                </c:pt>
                <c:pt idx="58">
                  <c:v>2.6273004813539683E-2</c:v>
                </c:pt>
                <c:pt idx="59">
                  <c:v>2.6534904428001327E-2</c:v>
                </c:pt>
                <c:pt idx="60">
                  <c:v>2.6822507207965113E-2</c:v>
                </c:pt>
                <c:pt idx="61">
                  <c:v>2.7138454455543706E-2</c:v>
                </c:pt>
                <c:pt idx="62">
                  <c:v>2.748567790085343E-2</c:v>
                </c:pt>
                <c:pt idx="63">
                  <c:v>2.7867434114665784E-2</c:v>
                </c:pt>
                <c:pt idx="64">
                  <c:v>2.8287343150093014E-2</c:v>
                </c:pt>
                <c:pt idx="65">
                  <c:v>2.874943188098078E-2</c:v>
                </c:pt>
                <c:pt idx="66">
                  <c:v>2.9258182526048442E-2</c:v>
                </c:pt>
                <c:pt idx="67">
                  <c:v>2.9818586857316663E-2</c:v>
                </c:pt>
                <c:pt idx="68">
                  <c:v>3.0436206583355538E-2</c:v>
                </c:pt>
                <c:pt idx="69">
                  <c:v>3.1117240365373822E-2</c:v>
                </c:pt>
                <c:pt idx="70">
                  <c:v>3.1868597858811278E-2</c:v>
                </c:pt>
                <c:pt idx="71">
                  <c:v>3.2697981065457564E-2</c:v>
                </c:pt>
                <c:pt idx="72">
                  <c:v>3.3613973121320667E-2</c:v>
                </c:pt>
                <c:pt idx="73">
                  <c:v>3.4626134424384052E-2</c:v>
                </c:pt>
                <c:pt idx="74">
                  <c:v>3.57451057177205E-2</c:v>
                </c:pt>
                <c:pt idx="75">
                  <c:v>3.6982717386778031E-2</c:v>
                </c:pt>
                <c:pt idx="76">
                  <c:v>3.8352103814899147E-2</c:v>
                </c:pt>
                <c:pt idx="77">
                  <c:v>3.9867821194021345E-2</c:v>
                </c:pt>
                <c:pt idx="78">
                  <c:v>4.1545966756009044E-2</c:v>
                </c:pt>
                <c:pt idx="79">
                  <c:v>4.3404297050453962E-2</c:v>
                </c:pt>
                <c:pt idx="80">
                  <c:v>4.5462342755166328E-2</c:v>
                </c:pt>
                <c:pt idx="81">
                  <c:v>4.7741517703596983E-2</c:v>
                </c:pt>
                <c:pt idx="82">
                  <c:v>5.0265220503567729E-2</c:v>
                </c:pt>
                <c:pt idx="83">
                  <c:v>5.3058928447579007E-2</c:v>
                </c:pt>
                <c:pt idx="84">
                  <c:v>5.615028546388267E-2</c:v>
                </c:pt>
                <c:pt idx="85">
                  <c:v>5.9569188599442983E-2</c:v>
                </c:pt>
                <c:pt idx="86">
                  <c:v>6.3347880748898189E-2</c:v>
                </c:pt>
                <c:pt idx="87">
                  <c:v>6.7521060609089703E-2</c:v>
                </c:pt>
                <c:pt idx="88">
                  <c:v>7.2126023490689653E-2</c:v>
                </c:pt>
                <c:pt idx="89">
                  <c:v>7.7202847880806016E-2</c:v>
                </c:pt>
                <c:pt idx="90">
                  <c:v>8.279464182626016E-2</c:v>
                </c:pt>
                <c:pt idx="91">
                  <c:v>8.8947859950835248E-2</c:v>
                </c:pt>
                <c:pt idx="92">
                  <c:v>9.5712696494188954E-2</c:v>
                </c:pt>
                <c:pt idx="93">
                  <c:v>0.10314355315020284</c:v>
                </c:pt>
                <c:pt idx="94">
                  <c:v>0.1112995742465793</c:v>
                </c:pt>
                <c:pt idx="95">
                  <c:v>0.12024523764112212</c:v>
                </c:pt>
                <c:pt idx="96">
                  <c:v>0.13005098884629318</c:v>
                </c:pt>
                <c:pt idx="97">
                  <c:v>0.14079390859266125</c:v>
                </c:pt>
                <c:pt idx="98">
                  <c:v>0.15255840944002466</c:v>
                </c:pt>
                <c:pt idx="99">
                  <c:v>0.16543696348141454</c:v>
                </c:pt>
                <c:pt idx="100">
                  <c:v>0.1795308688761732</c:v>
                </c:pt>
                <c:pt idx="101">
                  <c:v>0.19495106667664572</c:v>
                </c:pt>
                <c:pt idx="102">
                  <c:v>0.2118190208903438</c:v>
                </c:pt>
                <c:pt idx="103">
                  <c:v>0.23026767448060487</c:v>
                </c:pt>
                <c:pt idx="104">
                  <c:v>0.25044249297330162</c:v>
                </c:pt>
                <c:pt idx="105">
                  <c:v>0.27250260633259116</c:v>
                </c:pt>
                <c:pt idx="106">
                  <c:v>0.29662205926105228</c:v>
                </c:pt>
                <c:pt idx="107">
                  <c:v>0.3229911801688054</c:v>
                </c:pt>
                <c:pt idx="108">
                  <c:v>0.35181807962933515</c:v>
                </c:pt>
                <c:pt idx="109">
                  <c:v>0.38333029003398722</c:v>
                </c:pt>
                <c:pt idx="110">
                  <c:v>0.41777655925101831</c:v>
                </c:pt>
                <c:pt idx="111">
                  <c:v>0.45542881232654375</c:v>
                </c:pt>
                <c:pt idx="112">
                  <c:v>0.49658429661398029</c:v>
                </c:pt>
                <c:pt idx="113">
                  <c:v>0.54156792718712687</c:v>
                </c:pt>
                <c:pt idx="114">
                  <c:v>0.59073485098984402</c:v>
                </c:pt>
                <c:pt idx="115">
                  <c:v>0.64447324991540433</c:v>
                </c:pt>
                <c:pt idx="116">
                  <c:v>0.70320740490541145</c:v>
                </c:pt>
                <c:pt idx="117">
                  <c:v>0.76740104522729469</c:v>
                </c:pt>
                <c:pt idx="118">
                  <c:v>0.83756100934758515</c:v>
                </c:pt>
                <c:pt idx="119">
                  <c:v>0.91424124628366177</c:v>
                </c:pt>
                <c:pt idx="120">
                  <c:v>0.9980471890091337</c:v>
                </c:pt>
                <c:pt idx="121">
                  <c:v>1.0896405344290272</c:v>
                </c:pt>
                <c:pt idx="122">
                  <c:v>1.1897444676537967</c:v>
                </c:pt>
                <c:pt idx="123">
                  <c:v>1.2991493718114364</c:v>
                </c:pt>
                <c:pt idx="124">
                  <c:v>1.4187190684723914</c:v>
                </c:pt>
                <c:pt idx="125">
                  <c:v>1.5493976379530001</c:v>
                </c:pt>
                <c:pt idx="126">
                  <c:v>1.6922168733428897</c:v>
                </c:pt>
                <c:pt idx="127">
                  <c:v>1.8483044271064268</c:v>
                </c:pt>
                <c:pt idx="128">
                  <c:v>2.0188927145774427</c:v>
                </c:pt>
                <c:pt idx="129">
                  <c:v>2.2053286446433105</c:v>
                </c:pt>
                <c:pt idx="130">
                  <c:v>2.4090842544461855</c:v>
                </c:pt>
                <c:pt idx="131">
                  <c:v>2.6317683320675309</c:v>
                </c:pt>
                <c:pt idx="132">
                  <c:v>2.875139118963165</c:v>
                </c:pt>
                <c:pt idx="133">
                  <c:v>3.141118192441771</c:v>
                </c:pt>
                <c:pt idx="134">
                  <c:v>3.4318056377973067</c:v>
                </c:pt>
                <c:pt idx="135">
                  <c:v>3.7494966298886041</c:v>
                </c:pt>
                <c:pt idx="136">
                  <c:v>4.0966995550882359</c:v>
                </c:pt>
                <c:pt idx="137">
                  <c:v>4.4761558166850657</c:v>
                </c:pt>
                <c:pt idx="138">
                  <c:v>4.890861480117076</c:v>
                </c:pt>
                <c:pt idx="139">
                  <c:v>5.3440909289378462</c:v>
                </c:pt>
                <c:pt idx="140">
                  <c:v>5.8394227182962766</c:v>
                </c:pt>
                <c:pt idx="141">
                  <c:v>6.3807678300600443</c:v>
                </c:pt>
                <c:pt idx="142">
                  <c:v>6.9724005526760164</c:v>
                </c:pt>
                <c:pt idx="143">
                  <c:v>7.6189922295848724</c:v>
                </c:pt>
                <c:pt idx="144">
                  <c:v>8.3256481426565259</c:v>
                </c:pt>
              </c:numCache>
            </c:numRef>
          </c:yVal>
          <c:smooth val="1"/>
          <c:extLst>
            <c:ext xmlns:c16="http://schemas.microsoft.com/office/drawing/2014/chart" uri="{C3380CC4-5D6E-409C-BE32-E72D297353CC}">
              <c16:uniqueId val="{00000001-C867-4BEA-A27C-9C54FEBE56F4}"/>
            </c:ext>
          </c:extLst>
        </c:ser>
        <c:ser>
          <c:idx val="2"/>
          <c:order val="2"/>
          <c:tx>
            <c:v>Loss tangent</c:v>
          </c:tx>
          <c:spPr>
            <a:ln w="12700">
              <a:solidFill>
                <a:srgbClr val="FF000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Calcs!$AA$13:$AA$157</c:f>
              <c:numCache>
                <c:formatCode>0.00E+00</c:formatCode>
                <c:ptCount val="145"/>
                <c:pt idx="0" formatCode="General">
                  <c:v>0</c:v>
                </c:pt>
                <c:pt idx="1">
                  <c:v>3.9570763088004036E-11</c:v>
                </c:pt>
                <c:pt idx="2">
                  <c:v>4.7263929817004449E-11</c:v>
                </c:pt>
                <c:pt idx="3">
                  <c:v>5.6452766826322015E-11</c:v>
                </c:pt>
                <c:pt idx="4">
                  <c:v>6.7428055489378858E-11</c:v>
                </c:pt>
                <c:pt idx="5">
                  <c:v>8.0537109563934705E-11</c:v>
                </c:pt>
                <c:pt idx="6">
                  <c:v>9.6194765959622268E-11</c:v>
                </c:pt>
                <c:pt idx="7">
                  <c:v>1.1489651228022564E-10</c:v>
                </c:pt>
                <c:pt idx="8">
                  <c:v>1.3723416656267189E-10</c:v>
                </c:pt>
                <c:pt idx="9">
                  <c:v>1.6391460539914473E-10</c:v>
                </c:pt>
                <c:pt idx="10">
                  <c:v>1.9578213309502109E-10</c:v>
                </c:pt>
                <c:pt idx="11">
                  <c:v>2.3384519973615823E-10</c:v>
                </c:pt>
                <c:pt idx="12">
                  <c:v>2.7930831366059103E-10</c:v>
                </c:pt>
                <c:pt idx="13">
                  <c:v>3.3361015820698225E-10</c:v>
                </c:pt>
                <c:pt idx="14">
                  <c:v>3.984691189469272E-10</c:v>
                </c:pt>
                <c:pt idx="15">
                  <c:v>4.7593766211348341E-10</c:v>
                </c:pt>
                <c:pt idx="16">
                  <c:v>5.6846728503500019E-10</c:v>
                </c:pt>
                <c:pt idx="17">
                  <c:v>6.7898609393515605E-10</c:v>
                </c:pt>
                <c:pt idx="18">
                  <c:v>8.1099146405397041E-10</c:v>
                </c:pt>
                <c:pt idx="19">
                  <c:v>9.686607143256371E-10</c:v>
                </c:pt>
                <c:pt idx="20">
                  <c:v>1.1569832989209004E-9</c:v>
                </c:pt>
                <c:pt idx="21">
                  <c:v>1.3819186988643434E-9</c:v>
                </c:pt>
                <c:pt idx="22">
                  <c:v>1.6505850102175761E-9</c:v>
                </c:pt>
                <c:pt idx="23">
                  <c:v>1.9714841967142388E-9</c:v>
                </c:pt>
                <c:pt idx="24">
                  <c:v>2.3547711349817999E-9</c:v>
                </c:pt>
                <c:pt idx="25">
                  <c:v>2.8125749663045354E-9</c:v>
                </c:pt>
                <c:pt idx="26">
                  <c:v>3.3593829241261273E-9</c:v>
                </c:pt>
                <c:pt idx="27">
                  <c:v>4.0124987835393614E-9</c:v>
                </c:pt>
                <c:pt idx="28">
                  <c:v>4.7925904404282725E-9</c:v>
                </c:pt>
                <c:pt idx="29">
                  <c:v>5.7243439484420088E-9</c:v>
                </c:pt>
                <c:pt idx="30">
                  <c:v>6.8372447108450266E-9</c:v>
                </c:pt>
                <c:pt idx="31">
                  <c:v>8.166510548112966E-9</c:v>
                </c:pt>
                <c:pt idx="32">
                  <c:v>9.7542061682618628E-9</c:v>
                </c:pt>
                <c:pt idx="33">
                  <c:v>1.1650574307400215E-8</c:v>
                </c:pt>
                <c:pt idx="34">
                  <c:v>1.3915625664537421E-8</c:v>
                </c:pt>
                <c:pt idx="35">
                  <c:v>1.662103794424394E-8</c:v>
                </c:pt>
                <c:pt idx="36">
                  <c:v>1.9852424102497598E-8</c:v>
                </c:pt>
                <c:pt idx="37">
                  <c:v>2.3712041574510414E-8</c:v>
                </c:pt>
                <c:pt idx="38">
                  <c:v>2.8322028218235242E-8</c:v>
                </c:pt>
                <c:pt idx="39">
                  <c:v>3.3828267375204923E-8</c:v>
                </c:pt>
                <c:pt idx="40">
                  <c:v>4.0405004358817733E-8</c:v>
                </c:pt>
                <c:pt idx="41">
                  <c:v>4.826036045915551E-8</c:v>
                </c:pt>
                <c:pt idx="42">
                  <c:v>5.7642918955392717E-8</c:v>
                </c:pt>
                <c:pt idx="43">
                  <c:v>6.8849591550608086E-8</c:v>
                </c:pt>
                <c:pt idx="44">
                  <c:v>8.2235014162864378E-8</c:v>
                </c:pt>
                <c:pt idx="45">
                  <c:v>9.8222769403005652E-8</c:v>
                </c:pt>
                <c:pt idx="46">
                  <c:v>1.1731879087524656E-7</c:v>
                </c:pt>
                <c:pt idx="47">
                  <c:v>1.401273734805594E-7</c:v>
                </c:pt>
                <c:pt idx="48">
                  <c:v>1.6737029637000097E-7</c:v>
                </c:pt>
                <c:pt idx="49">
                  <c:v>1.9990966369514032E-7</c:v>
                </c:pt>
                <c:pt idx="50">
                  <c:v>2.3877518595269176E-7</c:v>
                </c:pt>
                <c:pt idx="51">
                  <c:v>2.8519676524336273E-7</c:v>
                </c:pt>
                <c:pt idx="52">
                  <c:v>3.4064341560765446E-7</c:v>
                </c:pt>
                <c:pt idx="53">
                  <c:v>4.0686975007529364E-7</c:v>
                </c:pt>
                <c:pt idx="54">
                  <c:v>4.8597150551414345E-7</c:v>
                </c:pt>
                <c:pt idx="55">
                  <c:v>5.8045186236622133E-7</c:v>
                </c:pt>
                <c:pt idx="56">
                  <c:v>6.9330065796338959E-7</c:v>
                </c:pt>
                <c:pt idx="57">
                  <c:v>8.2808900013349448E-7</c:v>
                </c:pt>
                <c:pt idx="58">
                  <c:v>9.8908227515096558E-7</c:v>
                </c:pt>
                <c:pt idx="59">
                  <c:v>1.1813751261761755E-6</c:v>
                </c:pt>
                <c:pt idx="60">
                  <c:v>1.4110526735854752E-6</c:v>
                </c:pt>
                <c:pt idx="61">
                  <c:v>1.6853830790202319E-6</c:v>
                </c:pt>
                <c:pt idx="62">
                  <c:v>2.0130475468573303E-6</c:v>
                </c:pt>
                <c:pt idx="63">
                  <c:v>2.4044150415133414E-6</c:v>
                </c:pt>
                <c:pt idx="64">
                  <c:v>2.8718704140301823E-6</c:v>
                </c:pt>
                <c:pt idx="65">
                  <c:v>3.4302063215304202E-6</c:v>
                </c:pt>
                <c:pt idx="66">
                  <c:v>4.0970913418601052E-6</c:v>
                </c:pt>
                <c:pt idx="67">
                  <c:v>4.8936290969389061E-6</c:v>
                </c:pt>
                <c:pt idx="68">
                  <c:v>5.8450260783140678E-6</c:v>
                </c:pt>
                <c:pt idx="69">
                  <c:v>6.9813893083033652E-6</c:v>
                </c:pt>
                <c:pt idx="70">
                  <c:v>8.3386790787682835E-6</c:v>
                </c:pt>
                <c:pt idx="71">
                  <c:v>9.9598469170008349E-6</c:v>
                </c:pt>
                <c:pt idx="72">
                  <c:v>1.1896194789732068E-5</c:v>
                </c:pt>
                <c:pt idx="73">
                  <c:v>1.4208998557365728E-5</c:v>
                </c:pt>
                <c:pt idx="74">
                  <c:v>1.697144705275699E-5</c:v>
                </c:pt>
                <c:pt idx="75">
                  <c:v>2.027095814681631E-5</c:v>
                </c:pt>
                <c:pt idx="76">
                  <c:v>2.4211945092992313E-5</c:v>
                </c:pt>
                <c:pt idx="77">
                  <c:v>2.8919120691793448E-5</c:v>
                </c:pt>
                <c:pt idx="78">
                  <c:v>3.4541443835859829E-5</c:v>
                </c:pt>
                <c:pt idx="79">
                  <c:v>4.1256833324273077E-5</c:v>
                </c:pt>
                <c:pt idx="80">
                  <c:v>4.9277798115079257E-5</c:v>
                </c:pt>
                <c:pt idx="81">
                  <c:v>5.8858162185749719E-5</c:v>
                </c:pt>
                <c:pt idx="82">
                  <c:v>7.0301096810247498E-5</c:v>
                </c:pt>
                <c:pt idx="83">
                  <c:v>8.3968714434654374E-5</c:v>
                </c:pt>
                <c:pt idx="84">
                  <c:v>1.0029352775020683E-4</c:v>
                </c:pt>
                <c:pt idx="85">
                  <c:v>1.1979213658688795E-4</c:v>
                </c:pt>
                <c:pt idx="86">
                  <c:v>1.4308157575025599E-4</c:v>
                </c:pt>
                <c:pt idx="87">
                  <c:v>1.7089884112992E-4</c:v>
                </c:pt>
                <c:pt idx="88">
                  <c:v>2.0412421198469632E-4</c:v>
                </c:pt>
                <c:pt idx="89">
                  <c:v>2.4380910743974891E-4</c:v>
                </c:pt>
                <c:pt idx="90">
                  <c:v>2.9120935871646426E-4</c:v>
                </c:pt>
                <c:pt idx="91">
                  <c:v>3.47824949997043E-4</c:v>
                </c:pt>
                <c:pt idx="92">
                  <c:v>4.154474855261766E-4</c:v>
                </c:pt>
                <c:pt idx="93">
                  <c:v>4.9621688504947702E-4</c:v>
                </c:pt>
                <c:pt idx="94">
                  <c:v>5.926891017196714E-4</c:v>
                </c:pt>
                <c:pt idx="95">
                  <c:v>7.0791700540832143E-4</c:v>
                </c:pt>
                <c:pt idx="96">
                  <c:v>8.4554699098097542E-4</c:v>
                </c:pt>
                <c:pt idx="97">
                  <c:v>1.0099343687112077E-3</c:v>
                </c:pt>
                <c:pt idx="98">
                  <c:v>1.206281188371061E-3</c:v>
                </c:pt>
                <c:pt idx="99">
                  <c:v>1.4408008584506256E-3</c:v>
                </c:pt>
                <c:pt idx="100">
                  <c:v>1.7209147698931831E-3</c:v>
                </c:pt>
                <c:pt idx="101">
                  <c:v>2.0554871465174075E-3</c:v>
                </c:pt>
                <c:pt idx="102">
                  <c:v>2.4551055539842456E-3</c:v>
                </c:pt>
                <c:pt idx="103">
                  <c:v>2.9324159440338509E-3</c:v>
                </c:pt>
                <c:pt idx="104">
                  <c:v>3.5025228364902804E-3</c:v>
                </c:pt>
                <c:pt idx="105">
                  <c:v>4.1834673028207708E-3</c:v>
                </c:pt>
                <c:pt idx="106">
                  <c:v>4.9967978770719028E-3</c:v>
                </c:pt>
                <c:pt idx="107">
                  <c:v>5.9682524606981405E-3</c:v>
                </c:pt>
                <c:pt idx="108">
                  <c:v>7.1285728002075137E-3</c:v>
                </c:pt>
                <c:pt idx="109">
                  <c:v>8.5144773118250566E-3</c:v>
                </c:pt>
                <c:pt idx="110">
                  <c:v>1.0169823038276786E-2</c:v>
                </c:pt>
                <c:pt idx="111">
                  <c:v>1.2146993507895831E-2</c:v>
                </c:pt>
                <c:pt idx="112">
                  <c:v>1.4508556414946704E-2</c:v>
                </c:pt>
                <c:pt idx="113">
                  <c:v>1.7329243578574599E-2</c:v>
                </c:pt>
                <c:pt idx="114">
                  <c:v>2.0698315836315553E-2</c:v>
                </c:pt>
                <c:pt idx="115">
                  <c:v>2.4722387709383824E-2</c:v>
                </c:pt>
                <c:pt idx="116">
                  <c:v>2.9528801226461992E-2</c:v>
                </c:pt>
                <c:pt idx="117">
                  <c:v>3.5269655670877573E-2</c:v>
                </c:pt>
                <c:pt idx="118">
                  <c:v>4.2126620772790203E-2</c:v>
                </c:pt>
                <c:pt idx="119">
                  <c:v>5.0316685660184171E-2</c:v>
                </c:pt>
                <c:pt idx="120">
                  <c:v>6.0099025494612331E-2</c:v>
                </c:pt>
                <c:pt idx="121">
                  <c:v>7.1783203086847394E-2</c:v>
                </c:pt>
                <c:pt idx="122">
                  <c:v>8.5738965033127029E-2</c:v>
                </c:pt>
                <c:pt idx="123">
                  <c:v>0.10240794237139178</c:v>
                </c:pt>
                <c:pt idx="124">
                  <c:v>0.12231762602557987</c:v>
                </c:pt>
                <c:pt idx="125">
                  <c:v>0.14609805929186617</c:v>
                </c:pt>
                <c:pt idx="126">
                  <c:v>0.17450177560171021</c:v>
                </c:pt>
                <c:pt idx="127">
                  <c:v>0.20842761249358324</c:v>
                </c:pt>
                <c:pt idx="128">
                  <c:v>0.24894915538813306</c:v>
                </c:pt>
                <c:pt idx="129">
                  <c:v>0.29734871127199064</c:v>
                </c:pt>
                <c:pt idx="130">
                  <c:v>0.35515788738975684</c:v>
                </c:pt>
                <c:pt idx="131">
                  <c:v>0.42420605905964437</c:v>
                </c:pt>
                <c:pt idx="132">
                  <c:v>0.506678260380103</c:v>
                </c:pt>
                <c:pt idx="133">
                  <c:v>0.60518432978278514</c:v>
                </c:pt>
                <c:pt idx="134">
                  <c:v>0.72284149854758828</c:v>
                </c:pt>
                <c:pt idx="135">
                  <c:v>0.86337303579896152</c:v>
                </c:pt>
                <c:pt idx="136">
                  <c:v>1.0312260716111068</c:v>
                </c:pt>
                <c:pt idx="137">
                  <c:v>1.2317123267422694</c:v>
                </c:pt>
                <c:pt idx="138">
                  <c:v>1.4711762024001513</c:v>
                </c:pt>
                <c:pt idx="139">
                  <c:v>1.7571955492505309</c:v>
                </c:pt>
                <c:pt idx="140">
                  <c:v>2.0988214690180458</c:v>
                </c:pt>
                <c:pt idx="141">
                  <c:v>2.5068647372171435</c:v>
                </c:pt>
                <c:pt idx="142">
                  <c:v>2.9942379108800443</c:v>
                </c:pt>
                <c:pt idx="143">
                  <c:v>3.5763639473040731</c:v>
                </c:pt>
                <c:pt idx="144">
                  <c:v>4.2716642645864829</c:v>
                </c:pt>
              </c:numCache>
            </c:numRef>
          </c:yVal>
          <c:smooth val="1"/>
          <c:extLst>
            <c:ext xmlns:c16="http://schemas.microsoft.com/office/drawing/2014/chart" uri="{C3380CC4-5D6E-409C-BE32-E72D297353CC}">
              <c16:uniqueId val="{00000002-C867-4BEA-A27C-9C54FEBE56F4}"/>
            </c:ext>
          </c:extLst>
        </c:ser>
        <c:ser>
          <c:idx val="3"/>
          <c:order val="3"/>
          <c:tx>
            <c:v>Dielectric conductivity</c:v>
          </c:tx>
          <c:spPr>
            <a:ln w="12700">
              <a:solidFill>
                <a:srgbClr val="00FFFF"/>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Calcs!$AE$13:$AE$157</c:f>
              <c:numCache>
                <c:formatCode>General</c:formatCode>
                <c:ptCount val="145"/>
                <c:pt idx="0">
                  <c:v>1.1298253133715425E-15</c:v>
                </c:pt>
                <c:pt idx="1">
                  <c:v>1.1298253133715425E-15</c:v>
                </c:pt>
                <c:pt idx="2">
                  <c:v>1.1298253133715425E-15</c:v>
                </c:pt>
                <c:pt idx="3">
                  <c:v>1.1298253133715425E-15</c:v>
                </c:pt>
                <c:pt idx="4">
                  <c:v>1.1298253133715425E-15</c:v>
                </c:pt>
                <c:pt idx="5">
                  <c:v>1.1298253133715425E-15</c:v>
                </c:pt>
                <c:pt idx="6">
                  <c:v>1.1298253133715425E-15</c:v>
                </c:pt>
                <c:pt idx="7">
                  <c:v>1.1298253133715425E-15</c:v>
                </c:pt>
                <c:pt idx="8">
                  <c:v>1.1298253133715425E-15</c:v>
                </c:pt>
                <c:pt idx="9">
                  <c:v>1.1298253133715425E-15</c:v>
                </c:pt>
                <c:pt idx="10">
                  <c:v>1.1298253133715425E-15</c:v>
                </c:pt>
                <c:pt idx="11">
                  <c:v>1.1298253133715425E-15</c:v>
                </c:pt>
                <c:pt idx="12">
                  <c:v>1.1298253133715425E-15</c:v>
                </c:pt>
                <c:pt idx="13">
                  <c:v>1.1298253133715425E-15</c:v>
                </c:pt>
                <c:pt idx="14">
                  <c:v>1.1298253133715425E-15</c:v>
                </c:pt>
                <c:pt idx="15">
                  <c:v>1.1298253133715425E-15</c:v>
                </c:pt>
                <c:pt idx="16">
                  <c:v>1.1298253133715425E-15</c:v>
                </c:pt>
                <c:pt idx="17">
                  <c:v>1.1298253133715425E-15</c:v>
                </c:pt>
                <c:pt idx="18">
                  <c:v>1.1298253133715425E-15</c:v>
                </c:pt>
                <c:pt idx="19">
                  <c:v>1.1298253133715425E-15</c:v>
                </c:pt>
                <c:pt idx="20">
                  <c:v>1.1298253133715425E-15</c:v>
                </c:pt>
                <c:pt idx="21">
                  <c:v>1.1298253133715425E-15</c:v>
                </c:pt>
                <c:pt idx="22">
                  <c:v>1.1298253133715425E-15</c:v>
                </c:pt>
                <c:pt idx="23">
                  <c:v>1.1298253133715425E-15</c:v>
                </c:pt>
                <c:pt idx="24">
                  <c:v>1.1298253133715425E-15</c:v>
                </c:pt>
                <c:pt idx="25">
                  <c:v>1.1298253133715425E-15</c:v>
                </c:pt>
                <c:pt idx="26">
                  <c:v>1.1298253133715425E-15</c:v>
                </c:pt>
                <c:pt idx="27">
                  <c:v>1.1298253133715425E-15</c:v>
                </c:pt>
                <c:pt idx="28">
                  <c:v>1.1298253133715425E-15</c:v>
                </c:pt>
                <c:pt idx="29">
                  <c:v>1.1298253133715425E-15</c:v>
                </c:pt>
                <c:pt idx="30">
                  <c:v>1.1298253133715425E-15</c:v>
                </c:pt>
                <c:pt idx="31">
                  <c:v>1.1298253133715425E-15</c:v>
                </c:pt>
                <c:pt idx="32">
                  <c:v>1.1298253133715425E-15</c:v>
                </c:pt>
                <c:pt idx="33">
                  <c:v>1.1298253133715425E-15</c:v>
                </c:pt>
                <c:pt idx="34">
                  <c:v>1.1298253133715425E-15</c:v>
                </c:pt>
                <c:pt idx="35">
                  <c:v>1.1298253133715425E-15</c:v>
                </c:pt>
                <c:pt idx="36">
                  <c:v>1.1298253133715425E-15</c:v>
                </c:pt>
                <c:pt idx="37">
                  <c:v>1.1298253133715425E-15</c:v>
                </c:pt>
                <c:pt idx="38">
                  <c:v>1.1298253133715425E-15</c:v>
                </c:pt>
                <c:pt idx="39">
                  <c:v>1.1298253133715425E-15</c:v>
                </c:pt>
                <c:pt idx="40">
                  <c:v>1.1298253133715425E-15</c:v>
                </c:pt>
                <c:pt idx="41">
                  <c:v>1.1298253133715425E-15</c:v>
                </c:pt>
                <c:pt idx="42">
                  <c:v>1.1298253133715425E-15</c:v>
                </c:pt>
                <c:pt idx="43">
                  <c:v>1.1298253133715425E-15</c:v>
                </c:pt>
                <c:pt idx="44">
                  <c:v>1.1298253133715425E-15</c:v>
                </c:pt>
                <c:pt idx="45">
                  <c:v>1.1298253133715425E-15</c:v>
                </c:pt>
                <c:pt idx="46">
                  <c:v>1.1298253133715425E-15</c:v>
                </c:pt>
                <c:pt idx="47">
                  <c:v>1.1298253133715425E-15</c:v>
                </c:pt>
                <c:pt idx="48">
                  <c:v>1.1298253133715425E-15</c:v>
                </c:pt>
                <c:pt idx="49">
                  <c:v>1.1298253133715425E-15</c:v>
                </c:pt>
                <c:pt idx="50">
                  <c:v>1.1298253133715425E-15</c:v>
                </c:pt>
                <c:pt idx="51">
                  <c:v>1.1298253133715425E-15</c:v>
                </c:pt>
                <c:pt idx="52">
                  <c:v>1.1298253133715425E-15</c:v>
                </c:pt>
                <c:pt idx="53">
                  <c:v>1.1298253133715425E-15</c:v>
                </c:pt>
                <c:pt idx="54">
                  <c:v>1.1298253133715425E-15</c:v>
                </c:pt>
                <c:pt idx="55">
                  <c:v>1.1298253133715425E-15</c:v>
                </c:pt>
                <c:pt idx="56">
                  <c:v>1.1298253133715425E-15</c:v>
                </c:pt>
                <c:pt idx="57">
                  <c:v>1.1298253133715425E-15</c:v>
                </c:pt>
                <c:pt idx="58">
                  <c:v>1.1298253133715425E-15</c:v>
                </c:pt>
                <c:pt idx="59">
                  <c:v>1.1298253133715425E-15</c:v>
                </c:pt>
                <c:pt idx="60">
                  <c:v>1.1298253133715425E-15</c:v>
                </c:pt>
                <c:pt idx="61">
                  <c:v>1.1298253133715425E-15</c:v>
                </c:pt>
                <c:pt idx="62">
                  <c:v>1.1298253133715425E-15</c:v>
                </c:pt>
                <c:pt idx="63">
                  <c:v>1.1298253133715425E-15</c:v>
                </c:pt>
                <c:pt idx="64">
                  <c:v>1.1298253133715425E-15</c:v>
                </c:pt>
                <c:pt idx="65">
                  <c:v>1.1298253133715425E-15</c:v>
                </c:pt>
                <c:pt idx="66">
                  <c:v>1.1298253133715425E-15</c:v>
                </c:pt>
                <c:pt idx="67">
                  <c:v>1.1298253133715425E-15</c:v>
                </c:pt>
                <c:pt idx="68">
                  <c:v>1.1298253133715425E-15</c:v>
                </c:pt>
                <c:pt idx="69">
                  <c:v>1.1298253133715425E-15</c:v>
                </c:pt>
                <c:pt idx="70">
                  <c:v>1.1298253133715425E-15</c:v>
                </c:pt>
                <c:pt idx="71">
                  <c:v>1.1298253133715425E-15</c:v>
                </c:pt>
                <c:pt idx="72">
                  <c:v>1.1298253133715425E-15</c:v>
                </c:pt>
                <c:pt idx="73">
                  <c:v>1.1298253133715425E-15</c:v>
                </c:pt>
                <c:pt idx="74">
                  <c:v>1.1298253133715425E-15</c:v>
                </c:pt>
                <c:pt idx="75">
                  <c:v>1.1298253133715425E-15</c:v>
                </c:pt>
                <c:pt idx="76">
                  <c:v>1.1298253133715425E-15</c:v>
                </c:pt>
                <c:pt idx="77">
                  <c:v>1.1298253133715425E-15</c:v>
                </c:pt>
                <c:pt idx="78">
                  <c:v>1.1298253133715425E-15</c:v>
                </c:pt>
                <c:pt idx="79">
                  <c:v>1.1298253133715425E-15</c:v>
                </c:pt>
                <c:pt idx="80">
                  <c:v>1.1298253133715425E-15</c:v>
                </c:pt>
                <c:pt idx="81">
                  <c:v>1.1298253133715425E-15</c:v>
                </c:pt>
                <c:pt idx="82">
                  <c:v>1.1298253133715425E-15</c:v>
                </c:pt>
                <c:pt idx="83">
                  <c:v>1.1298253133715425E-15</c:v>
                </c:pt>
                <c:pt idx="84">
                  <c:v>1.1298253133715425E-15</c:v>
                </c:pt>
                <c:pt idx="85">
                  <c:v>1.1298253133715425E-15</c:v>
                </c:pt>
                <c:pt idx="86">
                  <c:v>1.1298253133715425E-15</c:v>
                </c:pt>
                <c:pt idx="87">
                  <c:v>1.1298253133715425E-15</c:v>
                </c:pt>
                <c:pt idx="88">
                  <c:v>1.1298253133715425E-15</c:v>
                </c:pt>
                <c:pt idx="89">
                  <c:v>1.1298253133715425E-15</c:v>
                </c:pt>
                <c:pt idx="90">
                  <c:v>1.1298253133715425E-15</c:v>
                </c:pt>
                <c:pt idx="91">
                  <c:v>1.1298253133715425E-15</c:v>
                </c:pt>
                <c:pt idx="92">
                  <c:v>1.1298253133715425E-15</c:v>
                </c:pt>
                <c:pt idx="93">
                  <c:v>1.1298253133715425E-15</c:v>
                </c:pt>
                <c:pt idx="94">
                  <c:v>1.1298253133715425E-15</c:v>
                </c:pt>
                <c:pt idx="95">
                  <c:v>1.1298253133715425E-15</c:v>
                </c:pt>
                <c:pt idx="96">
                  <c:v>1.1298253133715425E-15</c:v>
                </c:pt>
                <c:pt idx="97">
                  <c:v>1.1298253133715425E-15</c:v>
                </c:pt>
                <c:pt idx="98">
                  <c:v>1.1298253133715425E-15</c:v>
                </c:pt>
                <c:pt idx="99">
                  <c:v>1.1298253133715425E-15</c:v>
                </c:pt>
                <c:pt idx="100">
                  <c:v>1.1298253133715425E-15</c:v>
                </c:pt>
                <c:pt idx="101">
                  <c:v>1.1298253133715425E-15</c:v>
                </c:pt>
                <c:pt idx="102">
                  <c:v>1.1298253133715425E-15</c:v>
                </c:pt>
                <c:pt idx="103">
                  <c:v>1.1298253133715425E-15</c:v>
                </c:pt>
                <c:pt idx="104">
                  <c:v>1.1298253133715425E-15</c:v>
                </c:pt>
                <c:pt idx="105">
                  <c:v>1.1298253133715425E-15</c:v>
                </c:pt>
                <c:pt idx="106">
                  <c:v>1.1298253133715425E-15</c:v>
                </c:pt>
                <c:pt idx="107">
                  <c:v>1.1298253133715425E-15</c:v>
                </c:pt>
                <c:pt idx="108">
                  <c:v>1.1298253133715425E-15</c:v>
                </c:pt>
                <c:pt idx="109">
                  <c:v>1.1298253133715425E-15</c:v>
                </c:pt>
                <c:pt idx="110">
                  <c:v>1.1298253133715425E-15</c:v>
                </c:pt>
                <c:pt idx="111">
                  <c:v>1.1298253133715425E-15</c:v>
                </c:pt>
                <c:pt idx="112">
                  <c:v>1.1298253133715425E-15</c:v>
                </c:pt>
                <c:pt idx="113">
                  <c:v>1.1298253133715425E-15</c:v>
                </c:pt>
                <c:pt idx="114">
                  <c:v>1.1298253133715425E-15</c:v>
                </c:pt>
                <c:pt idx="115">
                  <c:v>1.1298253133715425E-15</c:v>
                </c:pt>
                <c:pt idx="116">
                  <c:v>1.1298253133715425E-15</c:v>
                </c:pt>
                <c:pt idx="117">
                  <c:v>1.1298253133715425E-15</c:v>
                </c:pt>
                <c:pt idx="118">
                  <c:v>1.1298253133715425E-15</c:v>
                </c:pt>
                <c:pt idx="119">
                  <c:v>1.1298253133715425E-15</c:v>
                </c:pt>
                <c:pt idx="120">
                  <c:v>1.1298253133715425E-15</c:v>
                </c:pt>
                <c:pt idx="121">
                  <c:v>1.1298253133715425E-15</c:v>
                </c:pt>
                <c:pt idx="122">
                  <c:v>1.1298253133715425E-15</c:v>
                </c:pt>
                <c:pt idx="123">
                  <c:v>1.1298253133715425E-15</c:v>
                </c:pt>
                <c:pt idx="124">
                  <c:v>1.1298253133715425E-15</c:v>
                </c:pt>
                <c:pt idx="125">
                  <c:v>1.1298253133715425E-15</c:v>
                </c:pt>
                <c:pt idx="126">
                  <c:v>1.1298253133715425E-15</c:v>
                </c:pt>
                <c:pt idx="127">
                  <c:v>1.1298253133715425E-15</c:v>
                </c:pt>
                <c:pt idx="128">
                  <c:v>1.1298253133715425E-15</c:v>
                </c:pt>
                <c:pt idx="129">
                  <c:v>1.1298253133715425E-15</c:v>
                </c:pt>
                <c:pt idx="130">
                  <c:v>1.1298253133715425E-15</c:v>
                </c:pt>
                <c:pt idx="131">
                  <c:v>1.1298253133715425E-15</c:v>
                </c:pt>
                <c:pt idx="132">
                  <c:v>1.1298253133715425E-15</c:v>
                </c:pt>
                <c:pt idx="133">
                  <c:v>1.1298253133715425E-15</c:v>
                </c:pt>
                <c:pt idx="134">
                  <c:v>1.1298253133715425E-15</c:v>
                </c:pt>
                <c:pt idx="135">
                  <c:v>1.1298253133715425E-15</c:v>
                </c:pt>
                <c:pt idx="136">
                  <c:v>1.1298253133715425E-15</c:v>
                </c:pt>
                <c:pt idx="137">
                  <c:v>1.1298253133715425E-15</c:v>
                </c:pt>
                <c:pt idx="138">
                  <c:v>1.1298253133715425E-15</c:v>
                </c:pt>
                <c:pt idx="139">
                  <c:v>1.1298253133715425E-15</c:v>
                </c:pt>
                <c:pt idx="140">
                  <c:v>1.1298253133715425E-15</c:v>
                </c:pt>
                <c:pt idx="141">
                  <c:v>1.1298253133715425E-15</c:v>
                </c:pt>
                <c:pt idx="142">
                  <c:v>1.1298253133715425E-15</c:v>
                </c:pt>
                <c:pt idx="143">
                  <c:v>1.1298253133715425E-15</c:v>
                </c:pt>
                <c:pt idx="144">
                  <c:v>1.1298253133715425E-15</c:v>
                </c:pt>
              </c:numCache>
            </c:numRef>
          </c:yVal>
          <c:smooth val="1"/>
          <c:extLst>
            <c:ext xmlns:c16="http://schemas.microsoft.com/office/drawing/2014/chart" uri="{C3380CC4-5D6E-409C-BE32-E72D297353CC}">
              <c16:uniqueId val="{00000003-C867-4BEA-A27C-9C54FEBE56F4}"/>
            </c:ext>
          </c:extLst>
        </c:ser>
        <c:ser>
          <c:idx val="4"/>
          <c:order val="4"/>
          <c:tx>
            <c:v>Total</c:v>
          </c:tx>
          <c:spPr>
            <a:ln w="12700">
              <a:solidFill>
                <a:srgbClr val="800080"/>
              </a:solidFill>
              <a:prstDash val="solid"/>
            </a:ln>
          </c:spPr>
          <c:marker>
            <c:symbol val="none"/>
          </c:marker>
          <c:xVal>
            <c:numRef>
              <c:f>Calcs!$E$13:$E$157</c:f>
              <c:numCache>
                <c:formatCode>General</c:formatCode>
                <c:ptCount val="145"/>
                <c:pt idx="0">
                  <c:v>0</c:v>
                </c:pt>
                <c:pt idx="1">
                  <c:v>1.0000000000000001E-9</c:v>
                </c:pt>
                <c:pt idx="2">
                  <c:v>1.1944154251433329E-9</c:v>
                </c:pt>
                <c:pt idx="3">
                  <c:v>1.426628207820329E-9</c:v>
                </c:pt>
                <c:pt idx="4">
                  <c:v>1.7039867373651894E-9</c:v>
                </c:pt>
                <c:pt idx="5">
                  <c:v>2.0352680433486435E-9</c:v>
                </c:pt>
                <c:pt idx="6">
                  <c:v>2.4309555452769098E-9</c:v>
                </c:pt>
                <c:pt idx="7">
                  <c:v>2.903570801116463E-9</c:v>
                </c:pt>
                <c:pt idx="8">
                  <c:v>3.4680697528492881E-9</c:v>
                </c:pt>
                <c:pt idx="9">
                  <c:v>4.1423160082762164E-9</c:v>
                </c:pt>
                <c:pt idx="10">
                  <c:v>4.947646136103271E-9</c:v>
                </c:pt>
                <c:pt idx="11">
                  <c:v>5.9095448631125566E-9</c:v>
                </c:pt>
                <c:pt idx="12">
                  <c:v>7.0584515400781839E-9</c:v>
                </c:pt>
                <c:pt idx="13">
                  <c:v>8.4307233970960971E-9</c:v>
                </c:pt>
                <c:pt idx="14">
                  <c:v>1.0069786070608378E-8</c:v>
                </c:pt>
                <c:pt idx="15">
                  <c:v>1.202750781062812E-8</c:v>
                </c:pt>
                <c:pt idx="16">
                  <c:v>1.4365840855046143E-8</c:v>
                </c:pt>
                <c:pt idx="17">
                  <c:v>1.7158781912421401E-8</c:v>
                </c:pt>
                <c:pt idx="18">
                  <c:v>2.0494713792866537E-8</c:v>
                </c:pt>
                <c:pt idx="19">
                  <c:v>2.4479202288097619E-8</c:v>
                </c:pt>
                <c:pt idx="20">
                  <c:v>2.9238336808107765E-8</c:v>
                </c:pt>
                <c:pt idx="21">
                  <c:v>3.4922720489139998E-8</c:v>
                </c:pt>
                <c:pt idx="22">
                  <c:v>4.1712236040197939E-8</c:v>
                </c:pt>
                <c:pt idx="23">
                  <c:v>4.9821738143632075E-8</c:v>
                </c:pt>
                <c:pt idx="24">
                  <c:v>5.9507852546206117E-8</c:v>
                </c:pt>
                <c:pt idx="25">
                  <c:v>7.1077096998343551E-8</c:v>
                </c:pt>
                <c:pt idx="26">
                  <c:v>8.4895581029230429E-8</c:v>
                </c:pt>
                <c:pt idx="27">
                  <c:v>1.0140059150781853E-7</c:v>
                </c:pt>
                <c:pt idx="28">
                  <c:v>1.2111443061559653E-7</c:v>
                </c:pt>
                <c:pt idx="29">
                  <c:v>1.4466094413472041E-7</c:v>
                </c:pt>
                <c:pt idx="30">
                  <c:v>1.72785263090308E-7</c:v>
                </c:pt>
                <c:pt idx="31">
                  <c:v>2.0637738347251289E-7</c:v>
                </c:pt>
                <c:pt idx="32">
                  <c:v>2.4650033022029016E-7</c:v>
                </c:pt>
                <c:pt idx="33">
                  <c:v>2.9442379671803985E-7</c:v>
                </c:pt>
                <c:pt idx="34">
                  <c:v>3.5166432432929187E-7</c:v>
                </c:pt>
                <c:pt idx="35">
                  <c:v>4.2003329345151405E-7</c:v>
                </c:pt>
                <c:pt idx="36">
                  <c:v>5.0169424477224457E-7</c:v>
                </c:pt>
                <c:pt idx="37">
                  <c:v>5.9923134466160378E-7</c:v>
                </c:pt>
                <c:pt idx="38">
                  <c:v>7.1573116129320061E-7</c:v>
                </c:pt>
                <c:pt idx="39">
                  <c:v>8.5488033930434963E-7</c:v>
                </c:pt>
                <c:pt idx="40">
                  <c:v>1.0210822639168816E-6</c:v>
                </c:pt>
                <c:pt idx="41">
                  <c:v>1.219596406362599E-6</c:v>
                </c:pt>
                <c:pt idx="42">
                  <c:v>1.4567047602088648E-6</c:v>
                </c:pt>
                <c:pt idx="43">
                  <c:v>1.7399106354731882E-6</c:v>
                </c:pt>
                <c:pt idx="44">
                  <c:v>2.0781761013801148E-6</c:v>
                </c:pt>
                <c:pt idx="45">
                  <c:v>2.4822055916526437E-6</c:v>
                </c:pt>
                <c:pt idx="46">
                  <c:v>2.9647846470469509E-6</c:v>
                </c:pt>
                <c:pt idx="47">
                  <c:v>3.5411845146610101E-6</c:v>
                </c:pt>
                <c:pt idx="48">
                  <c:v>4.229645407589818E-6</c:v>
                </c:pt>
                <c:pt idx="49">
                  <c:v>5.0519537177119386E-6</c:v>
                </c:pt>
                <c:pt idx="50">
                  <c:v>6.0341314475453467E-6</c:v>
                </c:pt>
                <c:pt idx="51">
                  <c:v>7.2072596782906306E-6</c:v>
                </c:pt>
                <c:pt idx="52">
                  <c:v>8.6084621327639052E-6</c:v>
                </c:pt>
                <c:pt idx="53">
                  <c:v>1.0282079958135483E-5</c:v>
                </c:pt>
                <c:pt idx="54">
                  <c:v>1.2281074904554135E-5</c:v>
                </c:pt>
                <c:pt idx="55">
                  <c:v>1.4668705303340147E-5</c:v>
                </c:pt>
                <c:pt idx="56">
                  <c:v>1.7520527881191282E-5</c:v>
                </c:pt>
                <c:pt idx="57">
                  <c:v>2.0926788757948708E-5</c:v>
                </c:pt>
                <c:pt idx="58">
                  <c:v>2.4995279291210026E-5</c:v>
                </c:pt>
                <c:pt idx="59">
                  <c:v>2.9854747141186971E-5</c:v>
                </c:pt>
                <c:pt idx="60">
                  <c:v>3.5658970499187541E-5</c:v>
                </c:pt>
                <c:pt idx="61">
                  <c:v>4.2591624408960652E-5</c:v>
                </c:pt>
                <c:pt idx="62">
                  <c:v>5.0872093175973905E-5</c:v>
                </c:pt>
                <c:pt idx="63">
                  <c:v>6.0762412798712115E-5</c:v>
                </c:pt>
                <c:pt idx="64">
                  <c:v>7.257556311570843E-5</c:v>
                </c:pt>
                <c:pt idx="65">
                  <c:v>8.6685372073865683E-5</c:v>
                </c:pt>
                <c:pt idx="66">
                  <c:v>1.0353834553931428E-4</c:v>
                </c:pt>
                <c:pt idx="67">
                  <c:v>1.2366779700597738E-4</c:v>
                </c:pt>
                <c:pt idx="68">
                  <c:v>1.4771072433743387E-4</c:v>
                </c:pt>
                <c:pt idx="69">
                  <c:v>1.7642796760772574E-4</c:v>
                </c:pt>
                <c:pt idx="70">
                  <c:v>2.1072828593735591E-4</c:v>
                </c:pt>
                <c:pt idx="71">
                  <c:v>2.516971152375928E-4</c:v>
                </c:pt>
                <c:pt idx="72">
                  <c:v>3.0063091690385989E-4</c:v>
                </c:pt>
                <c:pt idx="73">
                  <c:v>3.5907820442495378E-4</c:v>
                </c:pt>
                <c:pt idx="74">
                  <c:v>4.2888854619793583E-4</c:v>
                </c:pt>
                <c:pt idx="75">
                  <c:v>5.1227109524611353E-4</c:v>
                </c:pt>
                <c:pt idx="76">
                  <c:v>6.1186449801702751E-4</c:v>
                </c:pt>
                <c:pt idx="77">
                  <c:v>7.3082039452911996E-4</c:v>
                </c:pt>
                <c:pt idx="78">
                  <c:v>8.7290315223491712E-4</c:v>
                </c:pt>
                <c:pt idx="79">
                  <c:v>1.0426089896856242E-3</c:v>
                </c:pt>
                <c:pt idx="80">
                  <c:v>1.2453082596736156E-3</c:v>
                </c:pt>
                <c:pt idx="81">
                  <c:v>1.4874153944125657E-3</c:v>
                </c:pt>
                <c:pt idx="82">
                  <c:v>1.776591890682023E-3</c:v>
                </c:pt>
                <c:pt idx="83">
                  <c:v>2.1219887584151662E-3</c:v>
                </c:pt>
                <c:pt idx="84">
                  <c:v>2.5345361050318244E-3</c:v>
                </c:pt>
                <c:pt idx="85">
                  <c:v>3.0272890194327135E-3</c:v>
                </c:pt>
                <c:pt idx="86">
                  <c:v>3.6158407011774685E-3</c:v>
                </c:pt>
                <c:pt idx="87">
                  <c:v>4.318815908347453E-3</c:v>
                </c:pt>
                <c:pt idx="88">
                  <c:v>5.1584603392846127E-3</c:v>
                </c:pt>
                <c:pt idx="89">
                  <c:v>6.161344599231653E-3</c:v>
                </c:pt>
                <c:pt idx="90">
                  <c:v>7.3592050289458533E-3</c:v>
                </c:pt>
                <c:pt idx="91">
                  <c:v>8.7899480033653155E-3</c:v>
                </c:pt>
                <c:pt idx="92">
                  <c:v>1.0498849481427373E-2</c:v>
                </c:pt>
                <c:pt idx="93">
                  <c:v>1.2539987766874938E-2</c:v>
                </c:pt>
                <c:pt idx="94">
                  <c:v>1.4977954819864123E-2</c:v>
                </c:pt>
                <c:pt idx="95">
                  <c:v>1.7889900273945641E-2</c:v>
                </c:pt>
                <c:pt idx="96">
                  <c:v>2.1367972841476613E-2</c:v>
                </c:pt>
                <c:pt idx="97">
                  <c:v>2.5522236365903481E-2</c:v>
                </c:pt>
                <c:pt idx="98">
                  <c:v>3.0484152799589243E-2</c:v>
                </c:pt>
                <c:pt idx="99">
                  <c:v>3.6410742326255706E-2</c:v>
                </c:pt>
                <c:pt idx="100">
                  <c:v>4.3489552275399058E-2</c:v>
                </c:pt>
                <c:pt idx="101">
                  <c:v>5.1944592070313975E-2</c:v>
                </c:pt>
                <c:pt idx="102">
                  <c:v>6.2043422021561073E-2</c:v>
                </c:pt>
                <c:pt idx="103">
                  <c:v>7.4105620291230093E-2</c:v>
                </c:pt>
                <c:pt idx="104">
                  <c:v>8.8512895965660005E-2</c:v>
                </c:pt>
                <c:pt idx="105">
                  <c:v>0.1057211682654914</c:v>
                </c:pt>
                <c:pt idx="106">
                  <c:v>0.12627499414047674</c:v>
                </c:pt>
                <c:pt idx="107">
                  <c:v>0.15082480081126939</c:v>
                </c:pt>
                <c:pt idx="108">
                  <c:v>0.18014746858315087</c:v>
                </c:pt>
                <c:pt idx="109">
                  <c:v>0.21517091527623936</c:v>
                </c:pt>
                <c:pt idx="110">
                  <c:v>0.25700346024814952</c:v>
                </c:pt>
                <c:pt idx="111">
                  <c:v>0.30696889723560117</c:v>
                </c:pt>
                <c:pt idx="112">
                  <c:v>0.3666483858974407</c:v>
                </c:pt>
                <c:pt idx="113">
                  <c:v>0.43793048771980841</c:v>
                </c:pt>
                <c:pt idx="114">
                  <c:v>0.52307092967308211</c:v>
                </c:pt>
                <c:pt idx="115">
                  <c:v>0.62476398684559287</c:v>
                </c:pt>
                <c:pt idx="116">
                  <c:v>0.74622774296242245</c:v>
                </c:pt>
                <c:pt idx="117">
                  <c:v>0.89130592686421173</c:v>
                </c:pt>
                <c:pt idx="118">
                  <c:v>1.0645895475682898</c:v>
                </c:pt>
                <c:pt idx="119">
                  <c:v>1.2715621770619276</c:v>
                </c:pt>
                <c:pt idx="120">
                  <c:v>1.5187734783116043</c:v>
                </c:pt>
                <c:pt idx="121">
                  <c:v>1.8140464697939735</c:v>
                </c:pt>
                <c:pt idx="122">
                  <c:v>2.1667250854487308</c:v>
                </c:pt>
                <c:pt idx="123">
                  <c:v>2.5879698641049704</c:v>
                </c:pt>
                <c:pt idx="124">
                  <c:v>3.0911111254930721</c:v>
                </c:pt>
                <c:pt idx="125">
                  <c:v>3.6920708091210943</c:v>
                </c:pt>
                <c:pt idx="126">
                  <c:v>4.4098663251356616</c:v>
                </c:pt>
                <c:pt idx="127">
                  <c:v>5.2672123615621782</c:v>
                </c:pt>
                <c:pt idx="128">
                  <c:v>6.291239692155508</c:v>
                </c:pt>
                <c:pt idx="129">
                  <c:v>7.5143537315845323</c:v>
                </c:pt>
                <c:pt idx="130">
                  <c:v>8.9752600069879307</c:v>
                </c:pt>
                <c:pt idx="131">
                  <c:v>10.720188997018441</c:v>
                </c:pt>
                <c:pt idx="132">
                  <c:v>12.804359098490664</c:v>
                </c:pt>
                <c:pt idx="133">
                  <c:v>15.29372401631163</c:v>
                </c:pt>
                <c:pt idx="134">
                  <c:v>18.267059872967661</c:v>
                </c:pt>
                <c:pt idx="135">
                  <c:v>21.818458084289382</c:v>
                </c:pt>
                <c:pt idx="136">
                  <c:v>26.060302888718493</c:v>
                </c:pt>
                <c:pt idx="137">
                  <c:v>31.126827754192728</c:v>
                </c:pt>
                <c:pt idx="138">
                  <c:v>37.178363205387406</c:v>
                </c:pt>
                <c:pt idx="139">
                  <c:v>44.406410494096043</c:v>
                </c:pt>
                <c:pt idx="140">
                  <c:v>53.039701669395093</c:v>
                </c:pt>
                <c:pt idx="141">
                  <c:v>63.351437818926094</c:v>
                </c:pt>
                <c:pt idx="142">
                  <c:v>75.667934535934037</c:v>
                </c:pt>
                <c:pt idx="143">
                  <c:v>90.378948198455532</c:v>
                </c:pt>
                <c:pt idx="144">
                  <c:v>107.95000983646553</c:v>
                </c:pt>
              </c:numCache>
            </c:numRef>
          </c:xVal>
          <c:yVal>
            <c:numRef>
              <c:f>Calcs!$AH$13:$AH$157</c:f>
              <c:numCache>
                <c:formatCode>0.00E+00</c:formatCode>
                <c:ptCount val="145"/>
                <c:pt idx="0">
                  <c:v>2.6996795733882382E-2</c:v>
                </c:pt>
                <c:pt idx="1">
                  <c:v>2.7017125925417069E-2</c:v>
                </c:pt>
                <c:pt idx="2">
                  <c:v>2.7019014893679763E-2</c:v>
                </c:pt>
                <c:pt idx="3">
                  <c:v>2.7021079416617733E-2</c:v>
                </c:pt>
                <c:pt idx="4">
                  <c:v>2.7023335821017395E-2</c:v>
                </c:pt>
                <c:pt idx="5">
                  <c:v>2.7025801949677603E-2</c:v>
                </c:pt>
                <c:pt idx="6">
                  <c:v>2.7028497307382247E-2</c:v>
                </c:pt>
                <c:pt idx="7">
                  <c:v>2.7031443216651602E-2</c:v>
                </c:pt>
                <c:pt idx="8">
                  <c:v>2.7034662984832977E-2</c:v>
                </c:pt>
                <c:pt idx="9">
                  <c:v>2.703818209120333E-2</c:v>
                </c:pt>
                <c:pt idx="10">
                  <c:v>2.7042028389728048E-2</c:v>
                </c:pt>
                <c:pt idx="11">
                  <c:v>2.7046232330711427E-2</c:v>
                </c:pt>
                <c:pt idx="12">
                  <c:v>2.7050827204682687E-2</c:v>
                </c:pt>
                <c:pt idx="13">
                  <c:v>2.7055849406985768E-2</c:v>
                </c:pt>
                <c:pt idx="14">
                  <c:v>2.7061338730095801E-2</c:v>
                </c:pt>
                <c:pt idx="15">
                  <c:v>2.7067338681462241E-2</c:v>
                </c:pt>
                <c:pt idx="16">
                  <c:v>2.7073896832420164E-2</c:v>
                </c:pt>
                <c:pt idx="17">
                  <c:v>2.7081065200313618E-2</c:v>
                </c:pt>
                <c:pt idx="18">
                  <c:v>2.7088900666119575E-2</c:v>
                </c:pt>
                <c:pt idx="19">
                  <c:v>2.7097465432923771E-2</c:v>
                </c:pt>
                <c:pt idx="20">
                  <c:v>2.7106827527587193E-2</c:v>
                </c:pt>
                <c:pt idx="21">
                  <c:v>2.7117061350422272E-2</c:v>
                </c:pt>
                <c:pt idx="22">
                  <c:v>2.7128248277961623E-2</c:v>
                </c:pt>
                <c:pt idx="23">
                  <c:v>2.714047732351817E-2</c:v>
                </c:pt>
                <c:pt idx="24">
                  <c:v>2.7153845861540255E-2</c:v>
                </c:pt>
                <c:pt idx="25">
                  <c:v>2.7168460422349192E-2</c:v>
                </c:pt>
                <c:pt idx="26">
                  <c:v>2.7184437564066459E-2</c:v>
                </c:pt>
                <c:pt idx="27">
                  <c:v>2.720190482958167E-2</c:v>
                </c:pt>
                <c:pt idx="28">
                  <c:v>2.7221001797554059E-2</c:v>
                </c:pt>
                <c:pt idx="29">
                  <c:v>2.7241881236824275E-2</c:v>
                </c:pt>
                <c:pt idx="30">
                  <c:v>2.7264710375133831E-2</c:v>
                </c:pt>
                <c:pt idx="31">
                  <c:v>2.7289672294097869E-2</c:v>
                </c:pt>
                <c:pt idx="32">
                  <c:v>2.731696746375499E-2</c:v>
                </c:pt>
                <c:pt idx="33">
                  <c:v>2.7346815431625954E-2</c:v>
                </c:pt>
                <c:pt idx="34">
                  <c:v>2.7379456682898023E-2</c:v>
                </c:pt>
                <c:pt idx="35">
                  <c:v>2.7415154690357785E-2</c:v>
                </c:pt>
                <c:pt idx="36">
                  <c:v>2.7454198174964532E-2</c:v>
                </c:pt>
                <c:pt idx="37">
                  <c:v>2.7496903600520414E-2</c:v>
                </c:pt>
                <c:pt idx="38">
                  <c:v>2.754361792873147E-2</c:v>
                </c:pt>
                <c:pt idx="39">
                  <c:v>2.7594721664361482E-2</c:v>
                </c:pt>
                <c:pt idx="40">
                  <c:v>2.7650632223910742E-2</c:v>
                </c:pt>
                <c:pt idx="41">
                  <c:v>2.7711807665608469E-2</c:v>
                </c:pt>
                <c:pt idx="42">
                  <c:v>2.7778750823417835E-2</c:v>
                </c:pt>
                <c:pt idx="43">
                  <c:v>2.7852013893478418E-2</c:v>
                </c:pt>
                <c:pt idx="44">
                  <c:v>2.7932203527880339E-2</c:v>
                </c:pt>
                <c:pt idx="45">
                  <c:v>2.8019986498152905E-2</c:v>
                </c:pt>
                <c:pt idx="46">
                  <c:v>2.8116095999414042E-2</c:v>
                </c:pt>
                <c:pt idx="47">
                  <c:v>2.8221338676011398E-2</c:v>
                </c:pt>
                <c:pt idx="48">
                  <c:v>2.8336602460799578E-2</c:v>
                </c:pt>
                <c:pt idx="49">
                  <c:v>2.8462865333235682E-2</c:v>
                </c:pt>
                <c:pt idx="50">
                  <c:v>2.8601205116452564E-2</c:v>
                </c:pt>
                <c:pt idx="51">
                  <c:v>2.8752810450644525E-2</c:v>
                </c:pt>
                <c:pt idx="52">
                  <c:v>2.8918993099826127E-2</c:v>
                </c:pt>
                <c:pt idx="53">
                  <c:v>2.9101201771589022E-2</c:v>
                </c:pt>
                <c:pt idx="54">
                  <c:v>2.9301037655259241E-2</c:v>
                </c:pt>
                <c:pt idx="55">
                  <c:v>2.9520271913224264E-2</c:v>
                </c:pt>
                <c:pt idx="56">
                  <c:v>2.976086539349641E-2</c:v>
                </c:pt>
                <c:pt idx="57">
                  <c:v>3.0024990869175518E-2</c:v>
                </c:pt>
                <c:pt idx="58">
                  <c:v>3.031505815262581E-2</c:v>
                </c:pt>
                <c:pt idx="59">
                  <c:v>3.0633742479074109E-2</c:v>
                </c:pt>
                <c:pt idx="60">
                  <c:v>3.0984016605940076E-2</c:v>
                </c:pt>
                <c:pt idx="61">
                  <c:v>3.1369187130223165E-2</c:v>
                </c:pt>
                <c:pt idx="62">
                  <c:v>3.1792935585954106E-2</c:v>
                </c:pt>
                <c:pt idx="63">
                  <c:v>3.2259364945718703E-2</c:v>
                </c:pt>
                <c:pt idx="64">
                  <c:v>3.2773052212355207E-2</c:v>
                </c:pt>
                <c:pt idx="65">
                  <c:v>3.3339107845700329E-2</c:v>
                </c:pt>
                <c:pt idx="66">
                  <c:v>3.3963242819713635E-2</c:v>
                </c:pt>
                <c:pt idx="67">
                  <c:v>3.4651844140368031E-2</c:v>
                </c:pt>
                <c:pt idx="68">
                  <c:v>3.541205966465031E-2</c:v>
                </c:pt>
                <c:pt idx="69">
                  <c:v>3.6251893032941171E-2</c:v>
                </c:pt>
                <c:pt idx="70">
                  <c:v>3.7180309444258604E-2</c:v>
                </c:pt>
                <c:pt idx="71">
                  <c:v>3.8207352845582798E-2</c:v>
                </c:pt>
                <c:pt idx="72">
                  <c:v>3.9344274848043113E-2</c:v>
                </c:pt>
                <c:pt idx="73">
                  <c:v>4.0603675296576179E-2</c:v>
                </c:pt>
                <c:pt idx="74">
                  <c:v>4.1999653877967613E-2</c:v>
                </c:pt>
                <c:pt idx="75">
                  <c:v>4.354797143200112E-2</c:v>
                </c:pt>
                <c:pt idx="76">
                  <c:v>4.5266218722253636E-2</c:v>
                </c:pt>
                <c:pt idx="77">
                  <c:v>4.7173989344232607E-2</c:v>
                </c:pt>
                <c:pt idx="78">
                  <c:v>4.9293052262179823E-2</c:v>
                </c:pt>
                <c:pt idx="79">
                  <c:v>5.1647518305078792E-2</c:v>
                </c:pt>
                <c:pt idx="80">
                  <c:v>5.4263994046724093E-2</c:v>
                </c:pt>
                <c:pt idx="81">
                  <c:v>5.7171716191042207E-2</c:v>
                </c:pt>
                <c:pt idx="82">
                  <c:v>6.0402660347373904E-2</c:v>
                </c:pt>
                <c:pt idx="83">
                  <c:v>6.3991620452702888E-2</c:v>
                </c:pt>
                <c:pt idx="84">
                  <c:v>6.7976259584433332E-2</c:v>
                </c:pt>
                <c:pt idx="85">
                  <c:v>7.2397139773351896E-2</c:v>
                </c:pt>
                <c:pt idx="86">
                  <c:v>7.7297747406747511E-2</c:v>
                </c:pt>
                <c:pt idx="87">
                  <c:v>8.2724540803868568E-2</c:v>
                </c:pt>
                <c:pt idx="88">
                  <c:v>8.8727055438266519E-2</c:v>
                </c:pt>
                <c:pt idx="89">
                  <c:v>9.5358107137547513E-2</c:v>
                </c:pt>
                <c:pt idx="90">
                  <c:v>0.10267413138262178</c:v>
                </c:pt>
                <c:pt idx="91">
                  <c:v>0.1107356857032309</c:v>
                </c:pt>
                <c:pt idx="92">
                  <c:v>0.11960812284990344</c:v>
                </c:pt>
                <c:pt idx="93">
                  <c:v>0.12936241898655018</c:v>
                </c:pt>
                <c:pt idx="94">
                  <c:v>0.14007612035438013</c:v>
                </c:pt>
                <c:pt idx="95">
                  <c:v>0.15183436086650084</c:v>
                </c:pt>
                <c:pt idx="96">
                  <c:v>0.16473090634411605</c:v>
                </c:pt>
                <c:pt idx="97">
                  <c:v>0.17886919798857404</c:v>
                </c:pt>
                <c:pt idx="98">
                  <c:v>0.19436339246323428</c:v>
                </c:pt>
                <c:pt idx="99">
                  <c:v>0.21133942024665017</c:v>
                </c:pt>
                <c:pt idx="100">
                  <c:v>0.22993610044280272</c:v>
                </c:pt>
                <c:pt idx="101">
                  <c:v>0.25030635586047134</c:v>
                </c:pt>
                <c:pt idx="102">
                  <c:v>0.27261856861041561</c:v>
                </c:pt>
                <c:pt idx="103">
                  <c:v>0.29705810854325804</c:v>
                </c:pt>
                <c:pt idx="104">
                  <c:v>0.32382905965126013</c:v>
                </c:pt>
                <c:pt idx="105">
                  <c:v>0.35315616619056506</c:v>
                </c:pt>
                <c:pt idx="106">
                  <c:v>0.38528702128663217</c:v>
                </c:pt>
                <c:pt idx="107">
                  <c:v>0.42049452501454682</c:v>
                </c:pt>
                <c:pt idx="108">
                  <c:v>0.45907964489861214</c:v>
                </c:pt>
                <c:pt idx="109">
                  <c:v>0.50137451849208647</c:v>
                </c:pt>
                <c:pt idx="110">
                  <c:v>0.54774594492916384</c:v>
                </c:pt>
                <c:pt idx="111">
                  <c:v>0.59859932029230745</c:v>
                </c:pt>
                <c:pt idx="112">
                  <c:v>0.65438308067033457</c:v>
                </c:pt>
                <c:pt idx="113">
                  <c:v>0.71559372726234738</c:v>
                </c:pt>
                <c:pt idx="114">
                  <c:v>0.78278152015908431</c:v>
                </c:pt>
                <c:pt idx="115">
                  <c:v>0.85655694186995857</c:v>
                </c:pt>
                <c:pt idx="116">
                  <c:v>0.93759804867161922</c:v>
                </c:pt>
                <c:pt idx="117">
                  <c:v>1.0266588479141963</c:v>
                </c:pt>
                <c:pt idx="118">
                  <c:v>1.124578863106303</c:v>
                </c:pt>
                <c:pt idx="119">
                  <c:v>1.2322940765897361</c:v>
                </c:pt>
                <c:pt idx="120">
                  <c:v>1.3508494727196645</c:v>
                </c:pt>
                <c:pt idx="121">
                  <c:v>1.4814134436508863</c:v>
                </c:pt>
                <c:pt idx="122">
                  <c:v>1.6252943662449171</c:v>
                </c:pt>
                <c:pt idx="123">
                  <c:v>1.7839597136262475</c:v>
                </c:pt>
                <c:pt idx="124">
                  <c:v>1.9590581301618251</c:v>
                </c:pt>
                <c:pt idx="125">
                  <c:v>2.1524449760623692</c:v>
                </c:pt>
                <c:pt idx="126">
                  <c:v>2.366211939728367</c:v>
                </c:pt>
                <c:pt idx="127">
                  <c:v>2.6027214251555635</c:v>
                </c:pt>
                <c:pt idx="128">
                  <c:v>2.8646465514754311</c:v>
                </c:pt>
                <c:pt idx="129">
                  <c:v>3.1550177559734087</c:v>
                </c:pt>
                <c:pt idx="130">
                  <c:v>3.4772771753991014</c:v>
                </c:pt>
                <c:pt idx="131">
                  <c:v>3.8353421986629068</c:v>
                </c:pt>
                <c:pt idx="132">
                  <c:v>4.2336798437900534</c:v>
                </c:pt>
                <c:pt idx="133">
                  <c:v>4.6773939212561348</c:v>
                </c:pt>
                <c:pt idx="134">
                  <c:v>5.1723273140813539</c:v>
                </c:pt>
                <c:pt idx="135">
                  <c:v>5.7251821436801036</c:v>
                </c:pt>
                <c:pt idx="136">
                  <c:v>6.3436611130144955</c:v>
                </c:pt>
                <c:pt idx="137">
                  <c:v>7.0366339412781462</c:v>
                </c:pt>
                <c:pt idx="138">
                  <c:v>7.8143335464697987</c:v>
                </c:pt>
                <c:pt idx="139">
                  <c:v>8.6885875168802364</c:v>
                </c:pt>
                <c:pt idx="140">
                  <c:v>9.6730914672580486</c:v>
                </c:pt>
                <c:pt idx="141">
                  <c:v>10.783732133128078</c:v>
                </c:pt>
                <c:pt idx="142">
                  <c:v>12.038969556676333</c:v>
                </c:pt>
                <c:pt idx="143">
                  <c:v>13.460289506667772</c:v>
                </c:pt>
                <c:pt idx="144">
                  <c:v>15.0727394090051</c:v>
                </c:pt>
              </c:numCache>
            </c:numRef>
          </c:yVal>
          <c:smooth val="1"/>
          <c:extLst>
            <c:ext xmlns:c16="http://schemas.microsoft.com/office/drawing/2014/chart" uri="{C3380CC4-5D6E-409C-BE32-E72D297353CC}">
              <c16:uniqueId val="{00000004-C867-4BEA-A27C-9C54FEBE56F4}"/>
            </c:ext>
          </c:extLst>
        </c:ser>
        <c:dLbls>
          <c:showLegendKey val="0"/>
          <c:showVal val="0"/>
          <c:showCatName val="0"/>
          <c:showSerName val="0"/>
          <c:showPercent val="0"/>
          <c:showBubbleSize val="0"/>
        </c:dLbls>
        <c:axId val="460318704"/>
        <c:axId val="460319096"/>
      </c:scatterChart>
      <c:valAx>
        <c:axId val="460318704"/>
        <c:scaling>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(GHz)</a:t>
                </a:r>
              </a:p>
            </c:rich>
          </c:tx>
          <c:layout>
            <c:manualLayout>
              <c:xMode val="edge"/>
              <c:yMode val="edge"/>
              <c:x val="0.4077079794240383"/>
              <c:y val="0.906166359471524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60319096"/>
        <c:crosses val="autoZero"/>
        <c:crossBetween val="midCat"/>
      </c:valAx>
      <c:valAx>
        <c:axId val="460319096"/>
        <c:scaling>
          <c:orientation val="minMax"/>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Loss (dB/meter)</a:t>
                </a:r>
              </a:p>
            </c:rich>
          </c:tx>
          <c:layout>
            <c:manualLayout>
              <c:xMode val="edge"/>
              <c:yMode val="edge"/>
              <c:x val="2.6369179154723005E-2"/>
              <c:y val="0.3672921210428625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60318704"/>
        <c:crosses val="autoZero"/>
        <c:crossBetween val="midCat"/>
      </c:valAx>
      <c:spPr>
        <a:noFill/>
        <a:ln w="12700">
          <a:solidFill>
            <a:srgbClr val="808080"/>
          </a:solidFill>
          <a:prstDash val="solid"/>
        </a:ln>
      </c:spPr>
    </c:plotArea>
    <c:legend>
      <c:legendPos val="r"/>
      <c:layout>
        <c:manualLayout>
          <c:xMode val="edge"/>
          <c:yMode val="edge"/>
          <c:x val="0.14401618787680828"/>
          <c:y val="0.16353883172753841"/>
          <c:w val="0.30831640885674294"/>
          <c:h val="0.2707774791379917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a:t>Calculated coax cable loss from all sources
Both axes on log scales</a:t>
            </a:r>
          </a:p>
        </c:rich>
      </c:tx>
      <c:layout>
        <c:manualLayout>
          <c:xMode val="edge"/>
          <c:yMode val="edge"/>
          <c:x val="0.25354966853009803"/>
          <c:y val="1.8766728105695022E-2"/>
        </c:manualLayout>
      </c:layout>
      <c:overlay val="0"/>
      <c:spPr>
        <a:noFill/>
        <a:ln w="25400">
          <a:noFill/>
        </a:ln>
      </c:spPr>
    </c:title>
    <c:autoTitleDeleted val="0"/>
    <c:plotArea>
      <c:layout>
        <c:manualLayout>
          <c:layoutTarget val="inner"/>
          <c:xMode val="edge"/>
          <c:yMode val="edge"/>
          <c:x val="0.20283975659229209"/>
          <c:y val="0.1581769436997319"/>
          <c:w val="0.66328600405679516"/>
          <c:h val="0.62466487935656834"/>
        </c:manualLayout>
      </c:layout>
      <c:scatterChart>
        <c:scatterStyle val="smoothMarker"/>
        <c:varyColors val="0"/>
        <c:ser>
          <c:idx val="0"/>
          <c:order val="0"/>
          <c:tx>
            <c:v>Outside conductor</c:v>
          </c:tx>
          <c:spPr>
            <a:ln w="12700">
              <a:solidFill>
                <a:srgbClr val="0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Calcs!$S$14:$S$157</c:f>
              <c:numCache>
                <c:formatCode>0.00E+00</c:formatCode>
                <c:ptCount val="144"/>
                <c:pt idx="0">
                  <c:v>1.0570891377794927E-3</c:v>
                </c:pt>
                <c:pt idx="1">
                  <c:v>1.0571870766726795E-3</c:v>
                </c:pt>
                <c:pt idx="2">
                  <c:v>1.0572941206023487E-3</c:v>
                </c:pt>
                <c:pt idx="3">
                  <c:v>1.0574111167637162E-3</c:v>
                </c:pt>
                <c:pt idx="4">
                  <c:v>1.0575389913092467E-3</c:v>
                </c:pt>
                <c:pt idx="5">
                  <c:v>1.0576787567767173E-3</c:v>
                </c:pt>
                <c:pt idx="6">
                  <c:v>1.0578315201246874E-3</c:v>
                </c:pt>
                <c:pt idx="7">
                  <c:v>1.0579984916078776E-3</c:v>
                </c:pt>
                <c:pt idx="8">
                  <c:v>1.0581809944631862E-3</c:v>
                </c:pt>
                <c:pt idx="9">
                  <c:v>1.0583804755078384E-3</c:v>
                </c:pt>
                <c:pt idx="10">
                  <c:v>1.0585985167466177E-3</c:v>
                </c:pt>
                <c:pt idx="11">
                  <c:v>1.0588368480777615E-3</c:v>
                </c:pt>
                <c:pt idx="12">
                  <c:v>1.0590973612284733E-3</c:v>
                </c:pt>
                <c:pt idx="13">
                  <c:v>1.0593821249983754E-3</c:v>
                </c:pt>
                <c:pt idx="14">
                  <c:v>1.0596934019651805E-3</c:v>
                </c:pt>
                <c:pt idx="15">
                  <c:v>1.0600336668072537E-3</c:v>
                </c:pt>
                <c:pt idx="16">
                  <c:v>1.0604056263722747E-3</c:v>
                </c:pt>
                <c:pt idx="17">
                  <c:v>1.0608122416949726E-3</c:v>
                </c:pt>
                <c:pt idx="18">
                  <c:v>1.0612567521367244E-3</c:v>
                </c:pt>
                <c:pt idx="19">
                  <c:v>1.0617427018805696E-3</c:v>
                </c:pt>
                <c:pt idx="20">
                  <c:v>1.0622739690037109E-3</c:v>
                </c:pt>
                <c:pt idx="21">
                  <c:v>1.0628547974021851E-3</c:v>
                </c:pt>
                <c:pt idx="22">
                  <c:v>1.0634898318580585E-3</c:v>
                </c:pt>
                <c:pt idx="23">
                  <c:v>1.0641841565717E-3</c:v>
                </c:pt>
                <c:pt idx="24">
                  <c:v>1.0649433375293062E-3</c:v>
                </c:pt>
                <c:pt idx="25">
                  <c:v>1.0657734691055436E-3</c:v>
                </c:pt>
                <c:pt idx="26">
                  <c:v>1.0666812253531724E-3</c:v>
                </c:pt>
                <c:pt idx="27">
                  <c:v>1.0676739164902434E-3</c:v>
                </c:pt>
                <c:pt idx="28">
                  <c:v>1.0687595511456587E-3</c:v>
                </c:pt>
                <c:pt idx="29">
                  <c:v>1.0699469050005764E-3</c:v>
                </c:pt>
                <c:pt idx="30">
                  <c:v>1.0712455965398969E-3</c:v>
                </c:pt>
                <c:pt idx="31">
                  <c:v>1.0726661707153406E-3</c:v>
                </c:pt>
                <c:pt idx="32">
                  <c:v>1.0742201914271529E-3</c:v>
                </c:pt>
                <c:pt idx="33">
                  <c:v>1.0759203438467557E-3</c:v>
                </c:pt>
                <c:pt idx="34">
                  <c:v>1.0777805477381356E-3</c:v>
                </c:pt>
                <c:pt idx="35">
                  <c:v>1.0798160830912961E-3</c:v>
                </c:pt>
                <c:pt idx="36">
                  <c:v>1.0820437295590278E-3</c:v>
                </c:pt>
                <c:pt idx="37">
                  <c:v>1.084481921394861E-3</c:v>
                </c:pt>
                <c:pt idx="38">
                  <c:v>1.0871509198292718E-3</c:v>
                </c:pt>
                <c:pt idx="39">
                  <c:v>1.0900730050972599E-3</c:v>
                </c:pt>
                <c:pt idx="40">
                  <c:v>1.0932726906518842E-3</c:v>
                </c:pt>
                <c:pt idx="41">
                  <c:v>1.0967769624719834E-3</c:v>
                </c:pt>
                <c:pt idx="42">
                  <c:v>1.100615546806818E-3</c:v>
                </c:pt>
                <c:pt idx="43">
                  <c:v>1.1048212102072682E-3</c:v>
                </c:pt>
                <c:pt idx="44">
                  <c:v>1.1094300962859729E-3</c:v>
                </c:pt>
                <c:pt idx="45">
                  <c:v>1.1144821043397399E-3</c:v>
                </c:pt>
                <c:pt idx="46">
                  <c:v>1.1200213157774087E-3</c:v>
                </c:pt>
                <c:pt idx="47">
                  <c:v>1.1260964752440065E-3</c:v>
                </c:pt>
                <c:pt idx="48">
                  <c:v>1.1327615344419624E-3</c:v>
                </c:pt>
                <c:pt idx="49">
                  <c:v>1.1400762679508057E-3</c:v>
                </c:pt>
                <c:pt idx="50">
                  <c:v>1.148106971870936E-3</c:v>
                </c:pt>
                <c:pt idx="51">
                  <c:v>1.1569272579021648E-3</c:v>
                </c:pt>
                <c:pt idx="52">
                  <c:v>1.1666189575573829E-3</c:v>
                </c:pt>
                <c:pt idx="53">
                  <c:v>1.1772731536543964E-3</c:v>
                </c:pt>
                <c:pt idx="54">
                  <c:v>1.188991359079613E-3</c:v>
                </c:pt>
                <c:pt idx="55">
                  <c:v>1.2018868661353974E-3</c:v>
                </c:pt>
                <c:pt idx="56">
                  <c:v>1.216086293631896E-3</c:v>
                </c:pt>
                <c:pt idx="57">
                  <c:v>1.2317313633290184E-3</c:v>
                </c:pt>
                <c:pt idx="58">
                  <c:v>1.2489809424364403E-3</c:v>
                </c:pt>
                <c:pt idx="59">
                  <c:v>1.2680133946903951E-3</c:v>
                </c:pt>
                <c:pt idx="60">
                  <c:v>1.289029289075624E-3</c:v>
                </c:pt>
                <c:pt idx="61">
                  <c:v>1.3122545225410531E-3</c:v>
                </c:pt>
                <c:pt idx="62">
                  <c:v>1.3379439209980123E-3</c:v>
                </c:pt>
                <c:pt idx="63">
                  <c:v>1.366385391321334E-3</c:v>
                </c:pt>
                <c:pt idx="64">
                  <c:v>1.3979047056805922E-3</c:v>
                </c:pt>
                <c:pt idx="65">
                  <c:v>1.4328710077792612E-3</c:v>
                </c:pt>
                <c:pt idx="66">
                  <c:v>1.4717031376351186E-3</c:v>
                </c:pt>
                <c:pt idx="67">
                  <c:v>1.5148768761324442E-3</c:v>
                </c:pt>
                <c:pt idx="68">
                  <c:v>1.5629332108808563E-3</c:v>
                </c:pt>
                <c:pt idx="69">
                  <c:v>1.6164877183514469E-3</c:v>
                </c:pt>
                <c:pt idx="70">
                  <c:v>1.6762411403337917E-3</c:v>
                </c:pt>
                <c:pt idx="71">
                  <c:v>1.7429912009057507E-3</c:v>
                </c:pt>
                <c:pt idx="72">
                  <c:v>1.8176456576547285E-3</c:v>
                </c:pt>
                <c:pt idx="73">
                  <c:v>1.901236501217148E-3</c:v>
                </c:pt>
                <c:pt idx="74">
                  <c:v>1.9949351033513594E-3</c:v>
                </c:pt>
                <c:pt idx="75">
                  <c:v>2.1000679597233487E-3</c:v>
                </c:pt>
                <c:pt idx="76">
                  <c:v>2.2181324766881068E-3</c:v>
                </c:pt>
                <c:pt idx="77">
                  <c:v>2.3508120160734541E-3</c:v>
                </c:pt>
                <c:pt idx="78">
                  <c:v>2.4999891554801949E-3</c:v>
                </c:pt>
                <c:pt idx="79">
                  <c:v>2.6677558807124951E-3</c:v>
                </c:pt>
                <c:pt idx="80">
                  <c:v>2.8564192651970056E-3</c:v>
                </c:pt>
                <c:pt idx="81">
                  <c:v>3.0685012030586432E-3</c:v>
                </c:pt>
                <c:pt idx="82">
                  <c:v>3.3067310688515311E-3</c:v>
                </c:pt>
                <c:pt idx="83">
                  <c:v>3.5740309049010388E-3</c:v>
                </c:pt>
                <c:pt idx="84">
                  <c:v>3.8734939762621635E-3</c:v>
                </c:pt>
                <c:pt idx="85">
                  <c:v>4.2083592666721358E-3</c:v>
                </c:pt>
                <c:pt idx="86">
                  <c:v>4.5819865135478619E-3</c:v>
                </c:pt>
                <c:pt idx="87">
                  <c:v>4.9978382515212891E-3</c:v>
                </c:pt>
                <c:pt idx="88">
                  <c:v>5.4594763927397665E-3</c:v>
                </c:pt>
                <c:pt idx="89">
                  <c:v>5.9705804064996435E-3</c:v>
                </c:pt>
                <c:pt idx="90">
                  <c:v>6.5349917100699486E-3</c:v>
                </c:pt>
                <c:pt idx="91">
                  <c:v>7.1567845861336184E-3</c:v>
                </c:pt>
                <c:pt idx="92">
                  <c:v>7.8403587391175141E-3</c:v>
                </c:pt>
                <c:pt idx="93">
                  <c:v>8.5905440764691629E-3</c:v>
                </c:pt>
                <c:pt idx="94">
                  <c:v>9.4127061143529818E-3</c:v>
                </c:pt>
                <c:pt idx="95">
                  <c:v>1.0312841534638129E-2</c:v>
                </c:pt>
                <c:pt idx="96">
                  <c:v>1.1297657591807005E-2</c:v>
                </c:pt>
                <c:pt idx="97">
                  <c:v>1.2374634794817549E-2</c:v>
                </c:pt>
                <c:pt idx="98">
                  <c:v>1.3552077513650283E-2</c:v>
                </c:pt>
                <c:pt idx="99">
                  <c:v>1.4839160203832961E-2</c:v>
                </c:pt>
                <c:pt idx="100">
                  <c:v>1.6245977212054105E-2</c:v>
                </c:pt>
                <c:pt idx="101">
                  <c:v>1.7783602220826152E-2</c:v>
                </c:pt>
                <c:pt idx="102">
                  <c:v>1.9464160606747799E-2</c:v>
                </c:pt>
                <c:pt idx="103">
                  <c:v>2.130091558201266E-2</c:v>
                </c:pt>
                <c:pt idx="104">
                  <c:v>2.3308367640560854E-2</c:v>
                </c:pt>
                <c:pt idx="105">
                  <c:v>2.5502366541242036E-2</c:v>
                </c:pt>
                <c:pt idx="106">
                  <c:v>2.7900235425823618E-2</c:v>
                </c:pt>
                <c:pt idx="107">
                  <c:v>3.0520907238804063E-2</c:v>
                </c:pt>
                <c:pt idx="108">
                  <c:v>3.3385074111885238E-2</c:v>
                </c:pt>
                <c:pt idx="109">
                  <c:v>3.6515350719296423E-2</c:v>
                </c:pt>
                <c:pt idx="110">
                  <c:v>3.9936452834024257E-2</c:v>
                </c:pt>
                <c:pt idx="111">
                  <c:v>4.3675392477873214E-2</c:v>
                </c:pt>
                <c:pt idx="112">
                  <c:v>4.776169120234236E-2</c:v>
                </c:pt>
                <c:pt idx="113">
                  <c:v>5.2227613183651427E-2</c:v>
                </c:pt>
                <c:pt idx="114">
                  <c:v>5.7108419972314459E-2</c:v>
                </c:pt>
                <c:pt idx="115">
                  <c:v>6.2442648908724904E-2</c:v>
                </c:pt>
                <c:pt idx="116">
                  <c:v>6.8272417403079377E-2</c:v>
                </c:pt>
                <c:pt idx="117">
                  <c:v>7.4643755482177068E-2</c:v>
                </c:pt>
                <c:pt idx="118">
                  <c:v>8.1606969228812803E-2</c:v>
                </c:pt>
                <c:pt idx="119">
                  <c:v>8.9217037983393491E-2</c:v>
                </c:pt>
                <c:pt idx="120">
                  <c:v>9.7534048443980281E-2</c:v>
                </c:pt>
                <c:pt idx="121">
                  <c:v>0.10662366909229219</c:v>
                </c:pt>
                <c:pt idx="122">
                  <c:v>0.11655766869160517</c:v>
                </c:pt>
                <c:pt idx="123">
                  <c:v>0.12741448295045496</c:v>
                </c:pt>
                <c:pt idx="124">
                  <c:v>0.13927983382635373</c:v>
                </c:pt>
                <c:pt idx="125">
                  <c:v>0.15224740635935305</c:v>
                </c:pt>
                <c:pt idx="126">
                  <c:v>0.16641958837952697</c:v>
                </c:pt>
                <c:pt idx="127">
                  <c:v>0.18190827892887523</c:v>
                </c:pt>
                <c:pt idx="128">
                  <c:v>0.19883577178069567</c:v>
                </c:pt>
                <c:pt idx="129">
                  <c:v>0.21733572103241819</c:v>
                </c:pt>
                <c:pt idx="130">
                  <c:v>0.23755419639591868</c:v>
                </c:pt>
                <c:pt idx="131">
                  <c:v>0.25965083651755205</c:v>
                </c:pt>
                <c:pt idx="132">
                  <c:v>0.2838001094341554</c:v>
                </c:pt>
                <c:pt idx="133">
                  <c:v>0.31019269011718426</c:v>
                </c:pt>
                <c:pt idx="134">
                  <c:v>0.33903696598163174</c:v>
                </c:pt>
                <c:pt idx="135">
                  <c:v>0.37056068224675442</c:v>
                </c:pt>
                <c:pt idx="136">
                  <c:v>0.40501274013984689</c:v>
                </c:pt>
                <c:pt idx="137">
                  <c:v>0.44266516214111512</c:v>
                </c:pt>
                <c:pt idx="138">
                  <c:v>0.48381523978659413</c:v>
                </c:pt>
                <c:pt idx="139">
                  <c:v>0.52878788098748031</c:v>
                </c:pt>
                <c:pt idx="140">
                  <c:v>0.57793817539956405</c:v>
                </c:pt>
                <c:pt idx="141">
                  <c:v>0.63165419809810719</c:v>
                </c:pt>
                <c:pt idx="142">
                  <c:v>0.69036007369508234</c:v>
                </c:pt>
                <c:pt idx="143">
                  <c:v>0.75451932509207764</c:v>
                </c:pt>
              </c:numCache>
            </c:numRef>
          </c:yVal>
          <c:smooth val="1"/>
          <c:extLst>
            <c:ext xmlns:c16="http://schemas.microsoft.com/office/drawing/2014/chart" uri="{C3380CC4-5D6E-409C-BE32-E72D297353CC}">
              <c16:uniqueId val="{00000000-7B5D-409C-BCBE-258E8420E8F9}"/>
            </c:ext>
          </c:extLst>
        </c:ser>
        <c:ser>
          <c:idx val="1"/>
          <c:order val="1"/>
          <c:tx>
            <c:v>Inside conductor</c:v>
          </c:tx>
          <c:spPr>
            <a:ln w="12700">
              <a:solidFill>
                <a:srgbClr val="FF00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Calcs!$T$14:$T$157</c:f>
              <c:numCache>
                <c:formatCode>0.00E+00</c:formatCode>
                <c:ptCount val="144"/>
                <c:pt idx="0">
                  <c:v>7.1778309688546125E-3</c:v>
                </c:pt>
                <c:pt idx="1">
                  <c:v>7.1783087921442864E-3</c:v>
                </c:pt>
                <c:pt idx="2">
                  <c:v>7.1788310196572941E-3</c:v>
                </c:pt>
                <c:pt idx="3">
                  <c:v>7.1794017805748012E-3</c:v>
                </c:pt>
                <c:pt idx="4">
                  <c:v>7.1800255871897053E-3</c:v>
                </c:pt>
                <c:pt idx="5">
                  <c:v>7.1807073719682068E-3</c:v>
                </c:pt>
                <c:pt idx="6">
                  <c:v>7.1814525269839309E-3</c:v>
                </c:pt>
                <c:pt idx="7">
                  <c:v>7.1822669459676155E-3</c:v>
                </c:pt>
                <c:pt idx="8">
                  <c:v>7.1831570716449564E-3</c:v>
                </c:pt>
                <c:pt idx="9">
                  <c:v>7.1841299469332679E-3</c:v>
                </c:pt>
                <c:pt idx="10">
                  <c:v>7.1851932708860006E-3</c:v>
                </c:pt>
                <c:pt idx="11">
                  <c:v>7.1863554603144725E-3</c:v>
                </c:pt>
                <c:pt idx="12">
                  <c:v>7.1876257164886935E-3</c:v>
                </c:pt>
                <c:pt idx="13">
                  <c:v>7.1890140989791752E-3</c:v>
                </c:pt>
                <c:pt idx="14">
                  <c:v>7.1905316058144611E-3</c:v>
                </c:pt>
                <c:pt idx="15">
                  <c:v>7.1921902614882072E-3</c:v>
                </c:pt>
                <c:pt idx="16">
                  <c:v>7.1940032133395006E-3</c:v>
                </c:pt>
                <c:pt idx="17">
                  <c:v>7.1959848368002045E-3</c:v>
                </c:pt>
                <c:pt idx="18">
                  <c:v>7.1981508509667636E-3</c:v>
                </c:pt>
                <c:pt idx="19">
                  <c:v>7.2005184449746981E-3</c:v>
                </c:pt>
                <c:pt idx="20">
                  <c:v>7.2031064164213201E-3</c:v>
                </c:pt>
                <c:pt idx="21">
                  <c:v>7.2059353231097266E-3</c:v>
                </c:pt>
                <c:pt idx="22">
                  <c:v>7.2090276492541216E-3</c:v>
                </c:pt>
                <c:pt idx="23">
                  <c:v>7.2124079876516563E-3</c:v>
                </c:pt>
                <c:pt idx="24">
                  <c:v>7.2161032394559088E-3</c:v>
                </c:pt>
                <c:pt idx="25">
                  <c:v>7.220142833223888E-3</c:v>
                </c:pt>
                <c:pt idx="26">
                  <c:v>7.2245589651740629E-3</c:v>
                </c:pt>
                <c:pt idx="27">
                  <c:v>7.2293868628814009E-3</c:v>
                </c:pt>
                <c:pt idx="28">
                  <c:v>7.2346650747014503E-3</c:v>
                </c:pt>
                <c:pt idx="29">
                  <c:v>7.2404357876012237E-3</c:v>
                </c:pt>
                <c:pt idx="30">
                  <c:v>7.2467451763161715E-3</c:v>
                </c:pt>
                <c:pt idx="31">
                  <c:v>7.2536437870838813E-3</c:v>
                </c:pt>
                <c:pt idx="32">
                  <c:v>7.2611869595880004E-3</c:v>
                </c:pt>
                <c:pt idx="33">
                  <c:v>7.2694352911420344E-3</c:v>
                </c:pt>
                <c:pt idx="34">
                  <c:v>7.2784551476162617E-3</c:v>
                </c:pt>
                <c:pt idx="35">
                  <c:v>7.2883192261440416E-3</c:v>
                </c:pt>
                <c:pt idx="36">
                  <c:v>7.2991071752439808E-3</c:v>
                </c:pt>
                <c:pt idx="37">
                  <c:v>7.3109062786484574E-3</c:v>
                </c:pt>
                <c:pt idx="38">
                  <c:v>7.3238122099235246E-3</c:v>
                </c:pt>
                <c:pt idx="39">
                  <c:v>7.3379298658199704E-3</c:v>
                </c:pt>
                <c:pt idx="40">
                  <c:v>7.3533742872946171E-3</c:v>
                </c:pt>
                <c:pt idx="41">
                  <c:v>7.3702716782552014E-3</c:v>
                </c:pt>
                <c:pt idx="42">
                  <c:v>7.388760533382689E-3</c:v>
                </c:pt>
                <c:pt idx="43">
                  <c:v>7.40899288783743E-3</c:v>
                </c:pt>
                <c:pt idx="44">
                  <c:v>7.4311357033306959E-3</c:v>
                </c:pt>
                <c:pt idx="45">
                  <c:v>7.4553724069447123E-3</c:v>
                </c:pt>
                <c:pt idx="46">
                  <c:v>7.4819046012662349E-3</c:v>
                </c:pt>
                <c:pt idx="47">
                  <c:v>7.5109539668744025E-3</c:v>
                </c:pt>
                <c:pt idx="48">
                  <c:v>7.542764381057567E-3</c:v>
                </c:pt>
                <c:pt idx="49">
                  <c:v>7.5776042798623737E-3</c:v>
                </c:pt>
                <c:pt idx="50">
                  <c:v>7.6157692942465209E-3</c:v>
                </c:pt>
                <c:pt idx="51">
                  <c:v>7.6575851952828469E-3</c:v>
                </c:pt>
                <c:pt idx="52">
                  <c:v>7.7034111880893543E-3</c:v>
                </c:pt>
                <c:pt idx="53">
                  <c:v>7.753643599501113E-3</c:v>
                </c:pt>
                <c:pt idx="54">
                  <c:v>7.8087200105134025E-3</c:v>
                </c:pt>
                <c:pt idx="55">
                  <c:v>7.869123891252227E-3</c:v>
                </c:pt>
                <c:pt idx="56">
                  <c:v>7.9353898037145595E-3</c:v>
                </c:pt>
                <c:pt idx="57">
                  <c:v>8.0081092457753231E-3</c:v>
                </c:pt>
                <c:pt idx="58">
                  <c:v>8.0879372189713861E-3</c:v>
                </c:pt>
                <c:pt idx="59">
                  <c:v>8.1755996122790508E-3</c:v>
                </c:pt>
                <c:pt idx="60">
                  <c:v>8.2719015043720145E-3</c:v>
                </c:pt>
                <c:pt idx="61">
                  <c:v>8.3777364974559343E-3</c:v>
                </c:pt>
                <c:pt idx="62">
                  <c:v>8.4940972063721597E-3</c:v>
                </c:pt>
                <c:pt idx="63">
                  <c:v>8.6220870367267177E-3</c:v>
                </c:pt>
                <c:pt idx="64">
                  <c:v>8.7629333945930202E-3</c:v>
                </c:pt>
                <c:pt idx="65">
                  <c:v>8.9180024768496825E-3</c:v>
                </c:pt>
                <c:pt idx="66">
                  <c:v>9.0888157941101753E-3</c:v>
                </c:pt>
                <c:pt idx="67">
                  <c:v>9.2770685757606487E-3</c:v>
                </c:pt>
                <c:pt idx="68">
                  <c:v>9.4846501967123329E-3</c:v>
                </c:pt>
                <c:pt idx="69">
                  <c:v>9.7136667455533024E-3</c:v>
                </c:pt>
                <c:pt idx="70">
                  <c:v>9.9664658209758488E-3</c:v>
                </c:pt>
                <c:pt idx="71">
                  <c:v>1.024566359464785E-2</c:v>
                </c:pt>
                <c:pt idx="72">
                  <c:v>1.0554174111309452E-2</c:v>
                </c:pt>
                <c:pt idx="73">
                  <c:v>1.0895240708888228E-2</c:v>
                </c:pt>
                <c:pt idx="74">
                  <c:v>1.127246933271703E-2</c:v>
                </c:pt>
                <c:pt idx="75">
                  <c:v>1.1689863391520101E-2</c:v>
                </c:pt>
                <c:pt idx="76">
                  <c:v>1.2151859666551251E-2</c:v>
                </c:pt>
                <c:pt idx="77">
                  <c:v>1.2663364653745745E-2</c:v>
                </c:pt>
                <c:pt idx="78">
                  <c:v>1.3229790615232249E-2</c:v>
                </c:pt>
                <c:pt idx="79">
                  <c:v>1.3857090573996075E-2</c:v>
                </c:pt>
                <c:pt idx="80">
                  <c:v>1.4551791545841557E-2</c:v>
                </c:pt>
                <c:pt idx="81">
                  <c:v>1.5321025513157683E-2</c:v>
                </c:pt>
                <c:pt idx="82">
                  <c:v>1.6172558049127959E-2</c:v>
                </c:pt>
                <c:pt idx="83">
                  <c:v>1.7114815125543362E-2</c:v>
                </c:pt>
                <c:pt idx="84">
                  <c:v>1.8156909473129413E-2</c:v>
                </c:pt>
                <c:pt idx="85">
                  <c:v>1.9308668845677331E-2</c:v>
                </c:pt>
                <c:pt idx="86">
                  <c:v>2.0580669534592082E-2</c:v>
                </c:pt>
                <c:pt idx="87">
                  <c:v>2.1984279288798356E-2</c:v>
                </c:pt>
                <c:pt idx="88">
                  <c:v>2.3531714179714096E-2</c:v>
                </c:pt>
                <c:pt idx="89">
                  <c:v>2.5236113699786684E-2</c:v>
                </c:pt>
                <c:pt idx="90">
                  <c:v>2.7111637390525252E-2</c:v>
                </c:pt>
                <c:pt idx="91">
                  <c:v>2.9173584642218042E-2</c:v>
                </c:pt>
                <c:pt idx="92">
                  <c:v>3.1438537292795304E-2</c:v>
                </c:pt>
                <c:pt idx="93">
                  <c:v>3.3924522752554039E-2</c:v>
                </c:pt>
                <c:pt idx="94">
                  <c:v>3.6651194111534419E-2</c:v>
                </c:pt>
                <c:pt idx="95">
                  <c:v>3.9640023423034985E-2</c:v>
                </c:pt>
                <c:pt idx="96">
                  <c:v>4.2914505179426125E-2</c:v>
                </c:pt>
                <c:pt idx="97">
                  <c:v>4.6500368641802202E-2</c:v>
                </c:pt>
                <c:pt idx="98">
                  <c:v>5.0425799646858852E-2</c:v>
                </c:pt>
                <c:pt idx="99">
                  <c:v>5.4721674249016458E-2</c:v>
                </c:pt>
                <c:pt idx="100">
                  <c:v>5.9421807692223147E-2</c:v>
                </c:pt>
                <c:pt idx="101">
                  <c:v>6.4563222656164279E-2</c:v>
                </c:pt>
                <c:pt idx="102">
                  <c:v>7.018644064880665E-2</c:v>
                </c:pt>
                <c:pt idx="103">
                  <c:v>7.6335800101591564E-2</c:v>
                </c:pt>
                <c:pt idx="104">
                  <c:v>8.3059804417395494E-2</c:v>
                </c:pt>
                <c:pt idx="105">
                  <c:v>9.0411503066646026E-2</c:v>
                </c:pt>
                <c:pt idx="106">
                  <c:v>9.8448908854183545E-2</c:v>
                </c:pt>
                <c:pt idx="107">
                  <c:v>0.10723545465414994</c:v>
                </c:pt>
                <c:pt idx="108">
                  <c:v>0.1168404931827564</c:v>
                </c:pt>
                <c:pt idx="109">
                  <c:v>0.12733984371220991</c:v>
                </c:pt>
                <c:pt idx="110">
                  <c:v>0.13881639000443299</c:v>
                </c:pt>
                <c:pt idx="111">
                  <c:v>0.15136073415446849</c:v>
                </c:pt>
                <c:pt idx="112">
                  <c:v>0.16507191148107989</c:v>
                </c:pt>
                <c:pt idx="113">
                  <c:v>0.18005817208907704</c:v>
                </c:pt>
                <c:pt idx="114">
                  <c:v>0.19643783525829198</c:v>
                </c:pt>
                <c:pt idx="115">
                  <c:v>0.21434022339228584</c:v>
                </c:pt>
                <c:pt idx="116">
                  <c:v>0.23390668289054337</c:v>
                </c:pt>
                <c:pt idx="117">
                  <c:v>0.25529169999621587</c:v>
                </c:pt>
                <c:pt idx="118">
                  <c:v>0.27866412042296446</c:v>
                </c:pt>
                <c:pt idx="119">
                  <c:v>0.30420848238512976</c:v>
                </c:pt>
                <c:pt idx="120">
                  <c:v>0.33212647355188585</c:v>
                </c:pt>
                <c:pt idx="121">
                  <c:v>0.36263852342532205</c:v>
                </c:pt>
                <c:pt idx="122">
                  <c:v>0.39598554371233735</c:v>
                </c:pt>
                <c:pt idx="123">
                  <c:v>0.43243083042928288</c:v>
                </c:pt>
                <c:pt idx="124">
                  <c:v>0.47226214275573031</c:v>
                </c:pt>
                <c:pt idx="125">
                  <c:v>0.51579397504964941</c:v>
                </c:pt>
                <c:pt idx="126">
                  <c:v>0.56337003996172486</c:v>
                </c:pt>
                <c:pt idx="127">
                  <c:v>0.61536598225354866</c:v>
                </c:pt>
                <c:pt idx="128">
                  <c:v>0.67219234474619316</c:v>
                </c:pt>
                <c:pt idx="129">
                  <c:v>0.73429780981656467</c:v>
                </c:pt>
                <c:pt idx="130">
                  <c:v>0.80217274203472655</c:v>
                </c:pt>
                <c:pt idx="131">
                  <c:v>0.87635305991318124</c:v>
                </c:pt>
                <c:pt idx="132">
                  <c:v>0.95742446733777464</c:v>
                </c:pt>
                <c:pt idx="133">
                  <c:v>1.0460270780898886</c:v>
                </c:pt>
                <c:pt idx="134">
                  <c:v>1.1428604699733613</c:v>
                </c:pt>
                <c:pt idx="135">
                  <c:v>1.248689208451669</c:v>
                </c:pt>
                <c:pt idx="136">
                  <c:v>1.3643488834080302</c:v>
                </c:pt>
                <c:pt idx="137">
                  <c:v>1.4907527066925981</c:v>
                </c:pt>
                <c:pt idx="138">
                  <c:v>1.6288987225487217</c:v>
                </c:pt>
                <c:pt idx="139">
                  <c:v>1.7798776878493892</c:v>
                </c:pt>
                <c:pt idx="140">
                  <c:v>1.9448816843635832</c:v>
                </c:pt>
                <c:pt idx="141">
                  <c:v>2.1252135310521871</c:v>
                </c:pt>
                <c:pt idx="142">
                  <c:v>2.3222970707098489</c:v>
                </c:pt>
                <c:pt idx="143">
                  <c:v>2.5376884121728009</c:v>
                </c:pt>
              </c:numCache>
            </c:numRef>
          </c:yVal>
          <c:smooth val="1"/>
          <c:extLst>
            <c:ext xmlns:c16="http://schemas.microsoft.com/office/drawing/2014/chart" uri="{C3380CC4-5D6E-409C-BE32-E72D297353CC}">
              <c16:uniqueId val="{00000001-7B5D-409C-BCBE-258E8420E8F9}"/>
            </c:ext>
          </c:extLst>
        </c:ser>
        <c:ser>
          <c:idx val="2"/>
          <c:order val="2"/>
          <c:tx>
            <c:v>Loss tangent</c:v>
          </c:tx>
          <c:spPr>
            <a:ln w="12700">
              <a:solidFill>
                <a:srgbClr val="FF000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Calcs!$AB$14:$AB$157</c:f>
              <c:numCache>
                <c:formatCode>0.00E+00</c:formatCode>
                <c:ptCount val="144"/>
                <c:pt idx="0">
                  <c:v>1.2061315254817128E-11</c:v>
                </c:pt>
                <c:pt idx="1">
                  <c:v>1.4406220987870168E-11</c:v>
                </c:pt>
                <c:pt idx="2">
                  <c:v>1.7207012565935751E-11</c:v>
                </c:pt>
                <c:pt idx="3">
                  <c:v>2.0552321229388824E-11</c:v>
                </c:pt>
                <c:pt idx="4">
                  <c:v>2.4548009498882802E-11</c:v>
                </c:pt>
                <c:pt idx="5">
                  <c:v>2.9320521202030682E-11</c:v>
                </c:pt>
                <c:pt idx="6">
                  <c:v>3.5020882796947585E-11</c:v>
                </c:pt>
                <c:pt idx="7">
                  <c:v>4.182948261481099E-11</c:v>
                </c:pt>
                <c:pt idx="8">
                  <c:v>4.9961779260895125E-11</c:v>
                </c:pt>
                <c:pt idx="9">
                  <c:v>5.9675119816819401E-11</c:v>
                </c:pt>
                <c:pt idx="10">
                  <c:v>7.1276883606485674E-11</c:v>
                </c:pt>
                <c:pt idx="11">
                  <c:v>8.5134209235732452E-11</c:v>
                </c:pt>
                <c:pt idx="12">
                  <c:v>1.0168561271853884E-10</c:v>
                </c:pt>
                <c:pt idx="13">
                  <c:v>1.2145486434617384E-10</c:v>
                </c:pt>
                <c:pt idx="14">
                  <c:v>1.450675634337611E-10</c:v>
                </c:pt>
                <c:pt idx="15">
                  <c:v>1.7327093545324316E-10</c:v>
                </c:pt>
                <c:pt idx="16">
                  <c:v>2.0695747803436846E-10</c:v>
                </c:pt>
                <c:pt idx="17">
                  <c:v>2.4719320411301217E-10</c:v>
                </c:pt>
                <c:pt idx="18">
                  <c:v>2.9525137598318611E-10</c:v>
                </c:pt>
                <c:pt idx="19">
                  <c:v>3.5265279776911129E-10</c:v>
                </c:pt>
                <c:pt idx="20">
                  <c:v>4.2121394137537896E-10</c:v>
                </c:pt>
                <c:pt idx="21">
                  <c:v>5.0310442886417218E-10</c:v>
                </c:pt>
                <c:pt idx="22">
                  <c:v>6.0091569029329391E-10</c:v>
                </c:pt>
                <c:pt idx="23">
                  <c:v>7.1774296969696408E-10</c:v>
                </c:pt>
                <c:pt idx="24">
                  <c:v>8.5728327429423779E-10</c:v>
                </c:pt>
                <c:pt idx="25">
                  <c:v>1.0239523665344205E-9</c:v>
                </c:pt>
                <c:pt idx="26">
                  <c:v>1.2230245012007318E-9</c:v>
                </c:pt>
                <c:pt idx="27">
                  <c:v>1.4607993295623849E-9</c:v>
                </c:pt>
                <c:pt idx="28">
                  <c:v>1.7448012522683517E-9</c:v>
                </c:pt>
                <c:pt idx="29">
                  <c:v>2.0840175295187231E-9</c:v>
                </c:pt>
                <c:pt idx="30">
                  <c:v>2.4891826835262637E-9</c:v>
                </c:pt>
                <c:pt idx="31">
                  <c:v>2.9731181932034449E-9</c:v>
                </c:pt>
                <c:pt idx="32">
                  <c:v>3.5511382307364711E-9</c:v>
                </c:pt>
                <c:pt idx="33">
                  <c:v>4.2415342796078452E-9</c:v>
                </c:pt>
                <c:pt idx="34">
                  <c:v>5.0661539698378259E-9</c:v>
                </c:pt>
                <c:pt idx="35">
                  <c:v>6.0510924477254324E-9</c:v>
                </c:pt>
                <c:pt idx="36">
                  <c:v>7.2275181585315819E-9</c:v>
                </c:pt>
                <c:pt idx="37">
                  <c:v>8.6326591740536578E-9</c:v>
                </c:pt>
                <c:pt idx="38">
                  <c:v>1.0310981277494794E-8</c:v>
                </c:pt>
                <c:pt idx="39">
                  <c:v>1.2315595086203892E-8</c:v>
                </c:pt>
                <c:pt idx="40">
                  <c:v>1.4709936740781366E-8</c:v>
                </c:pt>
                <c:pt idx="41">
                  <c:v>1.7569775346071906E-8</c:v>
                </c:pt>
                <c:pt idx="42">
                  <c:v>2.0985610689651329E-8</c:v>
                </c:pt>
                <c:pt idx="43">
                  <c:v>2.5065537113772366E-8</c:v>
                </c:pt>
                <c:pt idx="44">
                  <c:v>2.9938664168192407E-8</c:v>
                </c:pt>
                <c:pt idx="45">
                  <c:v>3.5759202290675E-8</c:v>
                </c:pt>
                <c:pt idx="46">
                  <c:v>4.2711342806803032E-8</c:v>
                </c:pt>
                <c:pt idx="47">
                  <c:v>5.1015086677030283E-8</c:v>
                </c:pt>
                <c:pt idx="48">
                  <c:v>6.0933206442069102E-8</c:v>
                </c:pt>
                <c:pt idx="49">
                  <c:v>7.2779561677850454E-8</c:v>
                </c:pt>
                <c:pt idx="50">
                  <c:v>8.6929031103195166E-8</c:v>
                </c:pt>
                <c:pt idx="51">
                  <c:v>1.0382937564242088E-7</c:v>
                </c:pt>
                <c:pt idx="52">
                  <c:v>1.2401540785030896E-7</c:v>
                </c:pt>
                <c:pt idx="53">
                  <c:v>1.4812591609185058E-7</c:v>
                </c:pt>
                <c:pt idx="54">
                  <c:v>1.7692387904359341E-7</c:v>
                </c:pt>
                <c:pt idx="55">
                  <c:v>2.1132061020586125E-7</c:v>
                </c:pt>
                <c:pt idx="56">
                  <c:v>2.5240459648058231E-7</c:v>
                </c:pt>
                <c:pt idx="57">
                  <c:v>3.014759434134862E-7</c:v>
                </c:pt>
                <c:pt idx="58">
                  <c:v>3.6008751712270647E-7</c:v>
                </c:pt>
                <c:pt idx="59">
                  <c:v>4.3009408485292464E-7</c:v>
                </c:pt>
                <c:pt idx="60">
                  <c:v>5.1371100921123865E-7</c:v>
                </c:pt>
                <c:pt idx="61">
                  <c:v>6.1358435346785244E-7</c:v>
                </c:pt>
                <c:pt idx="62">
                  <c:v>7.3287461640860196E-7</c:v>
                </c:pt>
                <c:pt idx="63">
                  <c:v>8.7535674653443737E-7</c:v>
                </c:pt>
                <c:pt idx="64">
                  <c:v>1.0455396005640149E-6</c:v>
                </c:pt>
                <c:pt idx="65">
                  <c:v>1.2488086265118584E-6</c:v>
                </c:pt>
                <c:pt idx="66">
                  <c:v>1.491596286557823E-6</c:v>
                </c:pt>
                <c:pt idx="67">
                  <c:v>1.7815856127511788E-6</c:v>
                </c:pt>
                <c:pt idx="68">
                  <c:v>2.1279533370834444E-6</c:v>
                </c:pt>
                <c:pt idx="69">
                  <c:v>2.5416602897976967E-6</c:v>
                </c:pt>
                <c:pt idx="70">
                  <c:v>3.0357982556086427E-6</c:v>
                </c:pt>
                <c:pt idx="71">
                  <c:v>3.6260042641221857E-6</c:v>
                </c:pt>
                <c:pt idx="72">
                  <c:v>4.330955424703038E-6</c:v>
                </c:pt>
                <c:pt idx="73">
                  <c:v>5.172959964873503E-6</c:v>
                </c:pt>
                <c:pt idx="74">
                  <c:v>6.1786631756938273E-6</c:v>
                </c:pt>
                <c:pt idx="75">
                  <c:v>7.3798906038137989E-6</c:v>
                </c:pt>
                <c:pt idx="76">
                  <c:v>8.8146551730655472E-6</c:v>
                </c:pt>
                <c:pt idx="77">
                  <c:v>1.0528360106028965E-5</c:v>
                </c:pt>
                <c:pt idx="78">
                  <c:v>1.2575235712104692E-5</c:v>
                </c:pt>
                <c:pt idx="79">
                  <c:v>1.5020055509351151E-5</c:v>
                </c:pt>
                <c:pt idx="80">
                  <c:v>1.7940185986878114E-5</c:v>
                </c:pt>
                <c:pt idx="81">
                  <c:v>2.1428034872667486E-5</c:v>
                </c:pt>
                <c:pt idx="82">
                  <c:v>2.5593975382423301E-5</c:v>
                </c:pt>
                <c:pt idx="83">
                  <c:v>3.0569838987505126E-5</c:v>
                </c:pt>
                <c:pt idx="84">
                  <c:v>3.6513087230824175E-5</c:v>
                </c:pt>
                <c:pt idx="85">
                  <c:v>4.3611794608100455E-5</c:v>
                </c:pt>
                <c:pt idx="86">
                  <c:v>5.209060019809802E-5</c:v>
                </c:pt>
                <c:pt idx="87">
                  <c:v>6.2217816381582633E-5</c:v>
                </c:pt>
                <c:pt idx="88">
                  <c:v>7.4313919604897865E-5</c:v>
                </c:pt>
                <c:pt idx="89">
                  <c:v>8.8761691878951551E-5</c:v>
                </c:pt>
                <c:pt idx="90">
                  <c:v>1.0601833394203944E-4</c:v>
                </c:pt>
                <c:pt idx="91">
                  <c:v>1.2662993340836886E-4</c:v>
                </c:pt>
                <c:pt idx="92">
                  <c:v>1.5124874574782887E-4</c:v>
                </c:pt>
                <c:pt idx="93">
                  <c:v>1.806538349547889E-4</c:v>
                </c:pt>
                <c:pt idx="94">
                  <c:v>2.1577572708129768E-4</c:v>
                </c:pt>
                <c:pt idx="95">
                  <c:v>2.5772585679741995E-4</c:v>
                </c:pt>
                <c:pt idx="96">
                  <c:v>3.0783173881712011E-4</c:v>
                </c:pt>
                <c:pt idx="97">
                  <c:v>3.6767897719186201E-4</c:v>
                </c:pt>
                <c:pt idx="98">
                  <c:v>4.3916144185888366E-4</c:v>
                </c:pt>
                <c:pt idx="99">
                  <c:v>5.2454120028443769E-4</c:v>
                </c:pt>
                <c:pt idx="100">
                  <c:v>6.265201007429308E-4</c:v>
                </c:pt>
                <c:pt idx="101">
                  <c:v>7.4832527248971145E-4</c:v>
                </c:pt>
                <c:pt idx="102">
                  <c:v>8.9381124848629935E-4</c:v>
                </c:pt>
                <c:pt idx="103">
                  <c:v>1.0675819423586566E-3</c:v>
                </c:pt>
                <c:pt idx="104">
                  <c:v>1.2751363395576598E-3</c:v>
                </c:pt>
                <c:pt idx="105">
                  <c:v>1.5230425131284755E-3</c:v>
                </c:pt>
                <c:pt idx="106">
                  <c:v>1.8191454708297184E-3</c:v>
                </c:pt>
                <c:pt idx="107">
                  <c:v>2.1728154109386471E-3</c:v>
                </c:pt>
                <c:pt idx="108">
                  <c:v>2.5952442428142696E-3</c:v>
                </c:pt>
                <c:pt idx="109">
                  <c:v>3.0997997556317927E-3</c:v>
                </c:pt>
                <c:pt idx="110">
                  <c:v>3.7024486429821477E-3</c:v>
                </c:pt>
                <c:pt idx="111">
                  <c:v>4.4222617699788778E-3</c:v>
                </c:pt>
                <c:pt idx="112">
                  <c:v>5.2820176720844297E-3</c:v>
                </c:pt>
                <c:pt idx="113">
                  <c:v>6.3089233834173223E-3</c:v>
                </c:pt>
                <c:pt idx="114">
                  <c:v>7.5354754052011164E-3</c:v>
                </c:pt>
                <c:pt idx="115">
                  <c:v>9.0004880597604215E-3</c:v>
                </c:pt>
                <c:pt idx="116">
                  <c:v>1.0750321772396236E-2</c:v>
                </c:pt>
                <c:pt idx="117">
                  <c:v>1.284035015020428E-2</c:v>
                </c:pt>
                <c:pt idx="118">
                  <c:v>1.5336712283645504E-2</c:v>
                </c:pt>
                <c:pt idx="119">
                  <c:v>1.8318405722571422E-2</c:v>
                </c:pt>
                <c:pt idx="120">
                  <c:v>2.187978635907321E-2</c:v>
                </c:pt>
                <c:pt idx="121">
                  <c:v>2.6133554326117723E-2</c:v>
                </c:pt>
                <c:pt idx="122">
                  <c:v>3.1214320400936288E-2</c:v>
                </c:pt>
                <c:pt idx="123">
                  <c:v>3.7282865772244531E-2</c:v>
                </c:pt>
                <c:pt idx="124">
                  <c:v>4.4531229971917267E-2</c:v>
                </c:pt>
                <c:pt idx="125">
                  <c:v>5.3188787979063096E-2</c:v>
                </c:pt>
                <c:pt idx="126">
                  <c:v>6.3529508806871263E-2</c:v>
                </c:pt>
                <c:pt idx="127">
                  <c:v>7.5880625270706242E-2</c:v>
                </c:pt>
                <c:pt idx="128">
                  <c:v>9.0632989292852545E-2</c:v>
                </c:pt>
                <c:pt idx="129">
                  <c:v>0.10825344043823361</c:v>
                </c:pt>
                <c:pt idx="130">
                  <c:v>0.12929957908426126</c:v>
                </c:pt>
                <c:pt idx="131">
                  <c:v>0.15443741172278194</c:v>
                </c:pt>
                <c:pt idx="132">
                  <c:v>0.18446242678090255</c:v>
                </c:pt>
                <c:pt idx="133">
                  <c:v>0.22032476790648264</c:v>
                </c:pt>
                <c:pt idx="134">
                  <c:v>0.26315930132862764</c:v>
                </c:pt>
                <c:pt idx="135">
                  <c:v>0.31432152877685526</c:v>
                </c:pt>
                <c:pt idx="136">
                  <c:v>0.37543048242570998</c:v>
                </c:pt>
                <c:pt idx="137">
                  <c:v>0.44841995927827094</c:v>
                </c:pt>
                <c:pt idx="138">
                  <c:v>0.53559971630411207</c:v>
                </c:pt>
                <c:pt idx="139">
                  <c:v>0.63972856285602464</c:v>
                </c:pt>
                <c:pt idx="140">
                  <c:v>0.76410166338001206</c:v>
                </c:pt>
                <c:pt idx="141">
                  <c:v>0.91265481311876495</c:v>
                </c:pt>
                <c:pt idx="142">
                  <c:v>1.0900889866203587</c:v>
                </c:pt>
                <c:pt idx="143">
                  <c:v>1.3020191003982207</c:v>
                </c:pt>
              </c:numCache>
            </c:numRef>
          </c:yVal>
          <c:smooth val="1"/>
          <c:extLst>
            <c:ext xmlns:c16="http://schemas.microsoft.com/office/drawing/2014/chart" uri="{C3380CC4-5D6E-409C-BE32-E72D297353CC}">
              <c16:uniqueId val="{00000002-7B5D-409C-BCBE-258E8420E8F9}"/>
            </c:ext>
          </c:extLst>
        </c:ser>
        <c:ser>
          <c:idx val="3"/>
          <c:order val="3"/>
          <c:tx>
            <c:v>Dielectric conductivity</c:v>
          </c:tx>
          <c:spPr>
            <a:ln w="12700">
              <a:solidFill>
                <a:srgbClr val="00FFFF"/>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Calcs!$AF$14:$AF$157</c:f>
              <c:numCache>
                <c:formatCode>0.00E+00</c:formatCode>
                <c:ptCount val="144"/>
                <c:pt idx="0">
                  <c:v>3.4437494311495441E-16</c:v>
                </c:pt>
                <c:pt idx="1">
                  <c:v>3.4437494311495441E-16</c:v>
                </c:pt>
                <c:pt idx="2">
                  <c:v>3.4437494311495441E-16</c:v>
                </c:pt>
                <c:pt idx="3">
                  <c:v>3.4437494311495441E-16</c:v>
                </c:pt>
                <c:pt idx="4">
                  <c:v>3.4437494311495441E-16</c:v>
                </c:pt>
                <c:pt idx="5">
                  <c:v>3.4437494311495441E-16</c:v>
                </c:pt>
                <c:pt idx="6">
                  <c:v>3.4437494311495441E-16</c:v>
                </c:pt>
                <c:pt idx="7">
                  <c:v>3.4437494311495441E-16</c:v>
                </c:pt>
                <c:pt idx="8">
                  <c:v>3.4437494311495441E-16</c:v>
                </c:pt>
                <c:pt idx="9">
                  <c:v>3.4437494311495441E-16</c:v>
                </c:pt>
                <c:pt idx="10">
                  <c:v>3.4437494311495441E-16</c:v>
                </c:pt>
                <c:pt idx="11">
                  <c:v>3.4437494311495441E-16</c:v>
                </c:pt>
                <c:pt idx="12">
                  <c:v>3.4437494311495441E-16</c:v>
                </c:pt>
                <c:pt idx="13">
                  <c:v>3.4437494311495441E-16</c:v>
                </c:pt>
                <c:pt idx="14">
                  <c:v>3.4437494311495441E-16</c:v>
                </c:pt>
                <c:pt idx="15">
                  <c:v>3.4437494311495441E-16</c:v>
                </c:pt>
                <c:pt idx="16">
                  <c:v>3.4437494311495441E-16</c:v>
                </c:pt>
                <c:pt idx="17">
                  <c:v>3.4437494311495441E-16</c:v>
                </c:pt>
                <c:pt idx="18">
                  <c:v>3.4437494311495441E-16</c:v>
                </c:pt>
                <c:pt idx="19">
                  <c:v>3.4437494311495441E-16</c:v>
                </c:pt>
                <c:pt idx="20">
                  <c:v>3.4437494311495441E-16</c:v>
                </c:pt>
                <c:pt idx="21">
                  <c:v>3.4437494311495441E-16</c:v>
                </c:pt>
                <c:pt idx="22">
                  <c:v>3.4437494311495441E-16</c:v>
                </c:pt>
                <c:pt idx="23">
                  <c:v>3.4437494311495441E-16</c:v>
                </c:pt>
                <c:pt idx="24">
                  <c:v>3.4437494311495441E-16</c:v>
                </c:pt>
                <c:pt idx="25">
                  <c:v>3.4437494311495441E-16</c:v>
                </c:pt>
                <c:pt idx="26">
                  <c:v>3.4437494311495441E-16</c:v>
                </c:pt>
                <c:pt idx="27">
                  <c:v>3.4437494311495441E-16</c:v>
                </c:pt>
                <c:pt idx="28">
                  <c:v>3.4437494311495441E-16</c:v>
                </c:pt>
                <c:pt idx="29">
                  <c:v>3.4437494311495441E-16</c:v>
                </c:pt>
                <c:pt idx="30">
                  <c:v>3.4437494311495441E-16</c:v>
                </c:pt>
                <c:pt idx="31">
                  <c:v>3.4437494311495441E-16</c:v>
                </c:pt>
                <c:pt idx="32">
                  <c:v>3.4437494311495441E-16</c:v>
                </c:pt>
                <c:pt idx="33">
                  <c:v>3.4437494311495441E-16</c:v>
                </c:pt>
                <c:pt idx="34">
                  <c:v>3.4437494311495441E-16</c:v>
                </c:pt>
                <c:pt idx="35">
                  <c:v>3.4437494311495441E-16</c:v>
                </c:pt>
                <c:pt idx="36">
                  <c:v>3.4437494311495441E-16</c:v>
                </c:pt>
                <c:pt idx="37">
                  <c:v>3.4437494311495441E-16</c:v>
                </c:pt>
                <c:pt idx="38">
                  <c:v>3.4437494311495441E-16</c:v>
                </c:pt>
                <c:pt idx="39">
                  <c:v>3.4437494311495441E-16</c:v>
                </c:pt>
                <c:pt idx="40">
                  <c:v>3.4437494311495441E-16</c:v>
                </c:pt>
                <c:pt idx="41">
                  <c:v>3.4437494311495441E-16</c:v>
                </c:pt>
                <c:pt idx="42">
                  <c:v>3.4437494311495441E-16</c:v>
                </c:pt>
                <c:pt idx="43">
                  <c:v>3.4437494311495441E-16</c:v>
                </c:pt>
                <c:pt idx="44">
                  <c:v>3.4437494311495441E-16</c:v>
                </c:pt>
                <c:pt idx="45">
                  <c:v>3.4437494311495441E-16</c:v>
                </c:pt>
                <c:pt idx="46">
                  <c:v>3.4437494311495441E-16</c:v>
                </c:pt>
                <c:pt idx="47">
                  <c:v>3.4437494311495441E-16</c:v>
                </c:pt>
                <c:pt idx="48">
                  <c:v>3.4437494311495441E-16</c:v>
                </c:pt>
                <c:pt idx="49">
                  <c:v>3.4437494311495441E-16</c:v>
                </c:pt>
                <c:pt idx="50">
                  <c:v>3.4437494311495441E-16</c:v>
                </c:pt>
                <c:pt idx="51">
                  <c:v>3.4437494311495441E-16</c:v>
                </c:pt>
                <c:pt idx="52">
                  <c:v>3.4437494311495441E-16</c:v>
                </c:pt>
                <c:pt idx="53">
                  <c:v>3.4437494311495441E-16</c:v>
                </c:pt>
                <c:pt idx="54">
                  <c:v>3.4437494311495441E-16</c:v>
                </c:pt>
                <c:pt idx="55">
                  <c:v>3.4437494311495441E-16</c:v>
                </c:pt>
                <c:pt idx="56">
                  <c:v>3.4437494311495441E-16</c:v>
                </c:pt>
                <c:pt idx="57">
                  <c:v>3.4437494311495441E-16</c:v>
                </c:pt>
                <c:pt idx="58">
                  <c:v>3.4437494311495441E-16</c:v>
                </c:pt>
                <c:pt idx="59">
                  <c:v>3.4437494311495441E-16</c:v>
                </c:pt>
                <c:pt idx="60">
                  <c:v>3.4437494311495441E-16</c:v>
                </c:pt>
                <c:pt idx="61">
                  <c:v>3.4437494311495441E-16</c:v>
                </c:pt>
                <c:pt idx="62">
                  <c:v>3.4437494311495441E-16</c:v>
                </c:pt>
                <c:pt idx="63">
                  <c:v>3.4437494311495441E-16</c:v>
                </c:pt>
                <c:pt idx="64">
                  <c:v>3.4437494311495441E-16</c:v>
                </c:pt>
                <c:pt idx="65">
                  <c:v>3.4437494311495441E-16</c:v>
                </c:pt>
                <c:pt idx="66">
                  <c:v>3.4437494311495441E-16</c:v>
                </c:pt>
                <c:pt idx="67">
                  <c:v>3.4437494311495441E-16</c:v>
                </c:pt>
                <c:pt idx="68">
                  <c:v>3.4437494311495441E-16</c:v>
                </c:pt>
                <c:pt idx="69">
                  <c:v>3.4437494311495441E-16</c:v>
                </c:pt>
                <c:pt idx="70">
                  <c:v>3.4437494311495441E-16</c:v>
                </c:pt>
                <c:pt idx="71">
                  <c:v>3.4437494311495441E-16</c:v>
                </c:pt>
                <c:pt idx="72">
                  <c:v>3.4437494311495441E-16</c:v>
                </c:pt>
                <c:pt idx="73">
                  <c:v>3.4437494311495441E-16</c:v>
                </c:pt>
                <c:pt idx="74">
                  <c:v>3.4437494311495441E-16</c:v>
                </c:pt>
                <c:pt idx="75">
                  <c:v>3.4437494311495441E-16</c:v>
                </c:pt>
                <c:pt idx="76">
                  <c:v>3.4437494311495441E-16</c:v>
                </c:pt>
                <c:pt idx="77">
                  <c:v>3.4437494311495441E-16</c:v>
                </c:pt>
                <c:pt idx="78">
                  <c:v>3.4437494311495441E-16</c:v>
                </c:pt>
                <c:pt idx="79">
                  <c:v>3.4437494311495441E-16</c:v>
                </c:pt>
                <c:pt idx="80">
                  <c:v>3.4437494311495441E-16</c:v>
                </c:pt>
                <c:pt idx="81">
                  <c:v>3.4437494311495441E-16</c:v>
                </c:pt>
                <c:pt idx="82">
                  <c:v>3.4437494311495441E-16</c:v>
                </c:pt>
                <c:pt idx="83">
                  <c:v>3.4437494311495441E-16</c:v>
                </c:pt>
                <c:pt idx="84">
                  <c:v>3.4437494311495441E-16</c:v>
                </c:pt>
                <c:pt idx="85">
                  <c:v>3.4437494311495441E-16</c:v>
                </c:pt>
                <c:pt idx="86">
                  <c:v>3.4437494311495441E-16</c:v>
                </c:pt>
                <c:pt idx="87">
                  <c:v>3.4437494311495441E-16</c:v>
                </c:pt>
                <c:pt idx="88">
                  <c:v>3.4437494311495441E-16</c:v>
                </c:pt>
                <c:pt idx="89">
                  <c:v>3.4437494311495441E-16</c:v>
                </c:pt>
                <c:pt idx="90">
                  <c:v>3.4437494311495441E-16</c:v>
                </c:pt>
                <c:pt idx="91">
                  <c:v>3.4437494311495441E-16</c:v>
                </c:pt>
                <c:pt idx="92">
                  <c:v>3.4437494311495441E-16</c:v>
                </c:pt>
                <c:pt idx="93">
                  <c:v>3.4437494311495441E-16</c:v>
                </c:pt>
                <c:pt idx="94">
                  <c:v>3.4437494311495441E-16</c:v>
                </c:pt>
                <c:pt idx="95">
                  <c:v>3.4437494311495441E-16</c:v>
                </c:pt>
                <c:pt idx="96">
                  <c:v>3.4437494311495441E-16</c:v>
                </c:pt>
                <c:pt idx="97">
                  <c:v>3.4437494311495441E-16</c:v>
                </c:pt>
                <c:pt idx="98">
                  <c:v>3.4437494311495441E-16</c:v>
                </c:pt>
                <c:pt idx="99">
                  <c:v>3.4437494311495441E-16</c:v>
                </c:pt>
                <c:pt idx="100">
                  <c:v>3.4437494311495441E-16</c:v>
                </c:pt>
                <c:pt idx="101">
                  <c:v>3.4437494311495441E-16</c:v>
                </c:pt>
                <c:pt idx="102">
                  <c:v>3.4437494311495441E-16</c:v>
                </c:pt>
                <c:pt idx="103">
                  <c:v>3.4437494311495441E-16</c:v>
                </c:pt>
                <c:pt idx="104">
                  <c:v>3.4437494311495441E-16</c:v>
                </c:pt>
                <c:pt idx="105">
                  <c:v>3.4437494311495441E-16</c:v>
                </c:pt>
                <c:pt idx="106">
                  <c:v>3.4437494311495441E-16</c:v>
                </c:pt>
                <c:pt idx="107">
                  <c:v>3.4437494311495441E-16</c:v>
                </c:pt>
                <c:pt idx="108">
                  <c:v>3.4437494311495441E-16</c:v>
                </c:pt>
                <c:pt idx="109">
                  <c:v>3.4437494311495441E-16</c:v>
                </c:pt>
                <c:pt idx="110">
                  <c:v>3.4437494311495441E-16</c:v>
                </c:pt>
                <c:pt idx="111">
                  <c:v>3.4437494311495441E-16</c:v>
                </c:pt>
                <c:pt idx="112">
                  <c:v>3.4437494311495441E-16</c:v>
                </c:pt>
                <c:pt idx="113">
                  <c:v>3.4437494311495441E-16</c:v>
                </c:pt>
                <c:pt idx="114">
                  <c:v>3.4437494311495441E-16</c:v>
                </c:pt>
                <c:pt idx="115">
                  <c:v>3.4437494311495441E-16</c:v>
                </c:pt>
                <c:pt idx="116">
                  <c:v>3.4437494311495441E-16</c:v>
                </c:pt>
                <c:pt idx="117">
                  <c:v>3.4437494311495441E-16</c:v>
                </c:pt>
                <c:pt idx="118">
                  <c:v>3.4437494311495441E-16</c:v>
                </c:pt>
                <c:pt idx="119">
                  <c:v>3.4437494311495441E-16</c:v>
                </c:pt>
                <c:pt idx="120">
                  <c:v>3.4437494311495441E-16</c:v>
                </c:pt>
                <c:pt idx="121">
                  <c:v>3.4437494311495441E-16</c:v>
                </c:pt>
                <c:pt idx="122">
                  <c:v>3.4437494311495441E-16</c:v>
                </c:pt>
                <c:pt idx="123">
                  <c:v>3.4437494311495441E-16</c:v>
                </c:pt>
                <c:pt idx="124">
                  <c:v>3.4437494311495441E-16</c:v>
                </c:pt>
                <c:pt idx="125">
                  <c:v>3.4437494311495441E-16</c:v>
                </c:pt>
                <c:pt idx="126">
                  <c:v>3.4437494311495441E-16</c:v>
                </c:pt>
                <c:pt idx="127">
                  <c:v>3.4437494311495441E-16</c:v>
                </c:pt>
                <c:pt idx="128">
                  <c:v>3.4437494311495441E-16</c:v>
                </c:pt>
                <c:pt idx="129">
                  <c:v>3.4437494311495441E-16</c:v>
                </c:pt>
                <c:pt idx="130">
                  <c:v>3.4437494311495441E-16</c:v>
                </c:pt>
                <c:pt idx="131">
                  <c:v>3.4437494311495441E-16</c:v>
                </c:pt>
                <c:pt idx="132">
                  <c:v>3.4437494311495441E-16</c:v>
                </c:pt>
                <c:pt idx="133">
                  <c:v>3.4437494311495441E-16</c:v>
                </c:pt>
                <c:pt idx="134">
                  <c:v>3.4437494311495441E-16</c:v>
                </c:pt>
                <c:pt idx="135">
                  <c:v>3.4437494311495441E-16</c:v>
                </c:pt>
                <c:pt idx="136">
                  <c:v>3.4437494311495441E-16</c:v>
                </c:pt>
                <c:pt idx="137">
                  <c:v>3.4437494311495441E-16</c:v>
                </c:pt>
                <c:pt idx="138">
                  <c:v>3.4437494311495441E-16</c:v>
                </c:pt>
                <c:pt idx="139">
                  <c:v>3.4437494311495441E-16</c:v>
                </c:pt>
                <c:pt idx="140">
                  <c:v>3.4437494311495441E-16</c:v>
                </c:pt>
                <c:pt idx="141">
                  <c:v>3.4437494311495441E-16</c:v>
                </c:pt>
                <c:pt idx="142">
                  <c:v>3.4437494311495441E-16</c:v>
                </c:pt>
                <c:pt idx="143">
                  <c:v>3.4437494311495441E-16</c:v>
                </c:pt>
              </c:numCache>
            </c:numRef>
          </c:yVal>
          <c:smooth val="1"/>
          <c:extLst>
            <c:ext xmlns:c16="http://schemas.microsoft.com/office/drawing/2014/chart" uri="{C3380CC4-5D6E-409C-BE32-E72D297353CC}">
              <c16:uniqueId val="{00000003-7B5D-409C-BCBE-258E8420E8F9}"/>
            </c:ext>
          </c:extLst>
        </c:ser>
        <c:ser>
          <c:idx val="4"/>
          <c:order val="4"/>
          <c:tx>
            <c:v>Total</c:v>
          </c:tx>
          <c:spPr>
            <a:ln w="12700">
              <a:solidFill>
                <a:srgbClr val="800080"/>
              </a:solidFill>
              <a:prstDash val="solid"/>
            </a:ln>
          </c:spPr>
          <c:marker>
            <c:symbol val="none"/>
          </c:marker>
          <c:xVal>
            <c:numRef>
              <c:f>Calcs!$D$14:$D$157</c:f>
              <c:numCache>
                <c:formatCode>0.00E+00</c:formatCode>
                <c:ptCount val="144"/>
                <c:pt idx="0" formatCode="General">
                  <c:v>1</c:v>
                </c:pt>
                <c:pt idx="1">
                  <c:v>1.194415425143333</c:v>
                </c:pt>
                <c:pt idx="2">
                  <c:v>1.426628207820329</c:v>
                </c:pt>
                <c:pt idx="3">
                  <c:v>1.7039867373651894</c:v>
                </c:pt>
                <c:pt idx="4">
                  <c:v>2.0352680433486436</c:v>
                </c:pt>
                <c:pt idx="5">
                  <c:v>2.4309555452769098</c:v>
                </c:pt>
                <c:pt idx="6">
                  <c:v>2.9035708011164632</c:v>
                </c:pt>
                <c:pt idx="7">
                  <c:v>3.4680697528492881</c:v>
                </c:pt>
                <c:pt idx="8">
                  <c:v>4.1423160082762163</c:v>
                </c:pt>
                <c:pt idx="9">
                  <c:v>4.9476461361032706</c:v>
                </c:pt>
                <c:pt idx="10">
                  <c:v>5.9095448631125569</c:v>
                </c:pt>
                <c:pt idx="11">
                  <c:v>7.0584515400781838</c:v>
                </c:pt>
                <c:pt idx="12">
                  <c:v>8.4307233970960969</c:v>
                </c:pt>
                <c:pt idx="13">
                  <c:v>10.069786070608378</c:v>
                </c:pt>
                <c:pt idx="14">
                  <c:v>12.027507810628119</c:v>
                </c:pt>
                <c:pt idx="15">
                  <c:v>14.365840855046143</c:v>
                </c:pt>
                <c:pt idx="16">
                  <c:v>17.1587819124214</c:v>
                </c:pt>
                <c:pt idx="17">
                  <c:v>20.494713792866538</c:v>
                </c:pt>
                <c:pt idx="18">
                  <c:v>24.479202288097618</c:v>
                </c:pt>
                <c:pt idx="19">
                  <c:v>29.238336808107764</c:v>
                </c:pt>
                <c:pt idx="20">
                  <c:v>34.922720489139998</c:v>
                </c:pt>
                <c:pt idx="21">
                  <c:v>41.712236040197936</c:v>
                </c:pt>
                <c:pt idx="22">
                  <c:v>49.821738143632075</c:v>
                </c:pt>
                <c:pt idx="23">
                  <c:v>59.507852546206117</c:v>
                </c:pt>
                <c:pt idx="24">
                  <c:v>71.077096998343549</c:v>
                </c:pt>
                <c:pt idx="25">
                  <c:v>84.895581029230428</c:v>
                </c:pt>
                <c:pt idx="26">
                  <c:v>101.40059150781853</c:v>
                </c:pt>
                <c:pt idx="27">
                  <c:v>121.11443061559652</c:v>
                </c:pt>
                <c:pt idx="28">
                  <c:v>144.66094413472041</c:v>
                </c:pt>
                <c:pt idx="29">
                  <c:v>172.78526309030801</c:v>
                </c:pt>
                <c:pt idx="30">
                  <c:v>206.37738347251289</c:v>
                </c:pt>
                <c:pt idx="31">
                  <c:v>246.50033022029015</c:v>
                </c:pt>
                <c:pt idx="32">
                  <c:v>294.42379671803985</c:v>
                </c:pt>
                <c:pt idx="33">
                  <c:v>351.66432432929184</c:v>
                </c:pt>
                <c:pt idx="34">
                  <c:v>420.03329345151406</c:v>
                </c:pt>
                <c:pt idx="35">
                  <c:v>501.69424477224453</c:v>
                </c:pt>
                <c:pt idx="36">
                  <c:v>599.23134466160377</c:v>
                </c:pt>
                <c:pt idx="37">
                  <c:v>715.73116129320056</c:v>
                </c:pt>
                <c:pt idx="38">
                  <c:v>854.8803393043496</c:v>
                </c:pt>
                <c:pt idx="39">
                  <c:v>1021.0822639168815</c:v>
                </c:pt>
                <c:pt idx="40">
                  <c:v>1219.5964063625991</c:v>
                </c:pt>
                <c:pt idx="41">
                  <c:v>1456.7047602088649</c:v>
                </c:pt>
                <c:pt idx="42">
                  <c:v>1739.9106354731882</c:v>
                </c:pt>
                <c:pt idx="43">
                  <c:v>2078.1761013801147</c:v>
                </c:pt>
                <c:pt idx="44">
                  <c:v>2482.2055916526438</c:v>
                </c:pt>
                <c:pt idx="45">
                  <c:v>2964.7846470469508</c:v>
                </c:pt>
                <c:pt idx="46">
                  <c:v>3541.1845146610103</c:v>
                </c:pt>
                <c:pt idx="47">
                  <c:v>4229.6454075898182</c:v>
                </c:pt>
                <c:pt idx="48">
                  <c:v>5051.9537177119382</c:v>
                </c:pt>
                <c:pt idx="49">
                  <c:v>6034.1314475453464</c:v>
                </c:pt>
                <c:pt idx="50">
                  <c:v>7207.2596782906303</c:v>
                </c:pt>
                <c:pt idx="51">
                  <c:v>8608.4621327639052</c:v>
                </c:pt>
                <c:pt idx="52">
                  <c:v>10282.079958135482</c:v>
                </c:pt>
                <c:pt idx="53">
                  <c:v>12281.074904554136</c:v>
                </c:pt>
                <c:pt idx="54">
                  <c:v>14668.705303340146</c:v>
                </c:pt>
                <c:pt idx="55">
                  <c:v>17520.527881191283</c:v>
                </c:pt>
                <c:pt idx="56">
                  <c:v>20926.788757948707</c:v>
                </c:pt>
                <c:pt idx="57">
                  <c:v>24995.279291210027</c:v>
                </c:pt>
                <c:pt idx="58">
                  <c:v>29854.74714118697</c:v>
                </c:pt>
                <c:pt idx="59">
                  <c:v>35658.970499187541</c:v>
                </c:pt>
                <c:pt idx="60">
                  <c:v>42591.624408960655</c:v>
                </c:pt>
                <c:pt idx="61">
                  <c:v>50872.093175973903</c:v>
                </c:pt>
                <c:pt idx="62">
                  <c:v>60762.412798712117</c:v>
                </c:pt>
                <c:pt idx="63">
                  <c:v>72575.563115708428</c:v>
                </c:pt>
                <c:pt idx="64">
                  <c:v>86685.372073865685</c:v>
                </c:pt>
                <c:pt idx="65">
                  <c:v>103538.34553931428</c:v>
                </c:pt>
                <c:pt idx="66">
                  <c:v>123667.79700597738</c:v>
                </c:pt>
                <c:pt idx="67">
                  <c:v>147710.72433743387</c:v>
                </c:pt>
                <c:pt idx="68">
                  <c:v>176427.96760772573</c:v>
                </c:pt>
                <c:pt idx="69">
                  <c:v>210728.28593735592</c:v>
                </c:pt>
                <c:pt idx="70">
                  <c:v>251697.11523759281</c:v>
                </c:pt>
                <c:pt idx="71">
                  <c:v>300630.91690385988</c:v>
                </c:pt>
                <c:pt idx="72">
                  <c:v>359078.20442495379</c:v>
                </c:pt>
                <c:pt idx="73">
                  <c:v>428888.54619793582</c:v>
                </c:pt>
                <c:pt idx="74">
                  <c:v>512271.09524611355</c:v>
                </c:pt>
                <c:pt idx="75">
                  <c:v>611864.49801702751</c:v>
                </c:pt>
                <c:pt idx="76">
                  <c:v>730820.39452911995</c:v>
                </c:pt>
                <c:pt idx="77">
                  <c:v>872903.15223491716</c:v>
                </c:pt>
                <c:pt idx="78">
                  <c:v>1042608.9896856241</c:v>
                </c:pt>
                <c:pt idx="79">
                  <c:v>1245308.2596736157</c:v>
                </c:pt>
                <c:pt idx="80">
                  <c:v>1487415.3944125657</c:v>
                </c:pt>
                <c:pt idx="81">
                  <c:v>1776591.890682023</c:v>
                </c:pt>
                <c:pt idx="82">
                  <c:v>2121988.7584151663</c:v>
                </c:pt>
                <c:pt idx="83">
                  <c:v>2534536.1050318242</c:v>
                </c:pt>
                <c:pt idx="84">
                  <c:v>3027289.0194327137</c:v>
                </c:pt>
                <c:pt idx="85">
                  <c:v>3615840.7011774685</c:v>
                </c:pt>
                <c:pt idx="86">
                  <c:v>4318815.908347453</c:v>
                </c:pt>
                <c:pt idx="87">
                  <c:v>5158460.3392846128</c:v>
                </c:pt>
                <c:pt idx="88">
                  <c:v>6161344.5992316529</c:v>
                </c:pt>
                <c:pt idx="89">
                  <c:v>7359205.028945853</c:v>
                </c:pt>
                <c:pt idx="90">
                  <c:v>8789948.0033653155</c:v>
                </c:pt>
                <c:pt idx="91">
                  <c:v>10498849.481427373</c:v>
                </c:pt>
                <c:pt idx="92">
                  <c:v>12539987.766874937</c:v>
                </c:pt>
                <c:pt idx="93">
                  <c:v>14977954.819864122</c:v>
                </c:pt>
                <c:pt idx="94">
                  <c:v>17889900.273945641</c:v>
                </c:pt>
                <c:pt idx="95">
                  <c:v>21367972.841476612</c:v>
                </c:pt>
                <c:pt idx="96">
                  <c:v>25522236.365903482</c:v>
                </c:pt>
                <c:pt idx="97">
                  <c:v>30484152.799589243</c:v>
                </c:pt>
                <c:pt idx="98">
                  <c:v>36410742.326255709</c:v>
                </c:pt>
                <c:pt idx="99">
                  <c:v>43489552.275399059</c:v>
                </c:pt>
                <c:pt idx="100">
                  <c:v>51944592.070313975</c:v>
                </c:pt>
                <c:pt idx="101">
                  <c:v>62043422.021561071</c:v>
                </c:pt>
                <c:pt idx="102">
                  <c:v>74105620.291230097</c:v>
                </c:pt>
                <c:pt idx="103">
                  <c:v>88512895.965660006</c:v>
                </c:pt>
                <c:pt idx="104">
                  <c:v>105721168.2654914</c:v>
                </c:pt>
                <c:pt idx="105">
                  <c:v>126274994.14047675</c:v>
                </c:pt>
                <c:pt idx="106">
                  <c:v>150824800.8112694</c:v>
                </c:pt>
                <c:pt idx="107">
                  <c:v>180147468.58315086</c:v>
                </c:pt>
                <c:pt idx="108">
                  <c:v>215170915.27623937</c:v>
                </c:pt>
                <c:pt idx="109">
                  <c:v>257003460.24814951</c:v>
                </c:pt>
                <c:pt idx="110">
                  <c:v>306968897.23560119</c:v>
                </c:pt>
                <c:pt idx="111">
                  <c:v>366648385.89744067</c:v>
                </c:pt>
                <c:pt idx="112">
                  <c:v>437930487.7198084</c:v>
                </c:pt>
                <c:pt idx="113">
                  <c:v>523070929.67308211</c:v>
                </c:pt>
                <c:pt idx="114">
                  <c:v>624763986.84559286</c:v>
                </c:pt>
                <c:pt idx="115">
                  <c:v>746227742.96242249</c:v>
                </c:pt>
                <c:pt idx="116">
                  <c:v>891305926.86421168</c:v>
                </c:pt>
                <c:pt idx="117">
                  <c:v>1064589547.5682899</c:v>
                </c:pt>
                <c:pt idx="118">
                  <c:v>1271562177.0619276</c:v>
                </c:pt>
                <c:pt idx="119">
                  <c:v>1518773478.3116043</c:v>
                </c:pt>
                <c:pt idx="120">
                  <c:v>1814046469.7939734</c:v>
                </c:pt>
                <c:pt idx="121">
                  <c:v>2166725085.4487309</c:v>
                </c:pt>
                <c:pt idx="122">
                  <c:v>2587969864.1049705</c:v>
                </c:pt>
                <c:pt idx="123">
                  <c:v>3091111125.493072</c:v>
                </c:pt>
                <c:pt idx="124">
                  <c:v>3692070809.1210942</c:v>
                </c:pt>
                <c:pt idx="125">
                  <c:v>4409866325.1356611</c:v>
                </c:pt>
                <c:pt idx="126">
                  <c:v>5267212361.5621786</c:v>
                </c:pt>
                <c:pt idx="127">
                  <c:v>6291239692.155508</c:v>
                </c:pt>
                <c:pt idx="128">
                  <c:v>7514353731.5845327</c:v>
                </c:pt>
                <c:pt idx="129">
                  <c:v>8975260006.9879303</c:v>
                </c:pt>
                <c:pt idx="130">
                  <c:v>10720188997.018442</c:v>
                </c:pt>
                <c:pt idx="131">
                  <c:v>12804359098.490664</c:v>
                </c:pt>
                <c:pt idx="132">
                  <c:v>15293724016.31163</c:v>
                </c:pt>
                <c:pt idx="133">
                  <c:v>18267059872.967659</c:v>
                </c:pt>
                <c:pt idx="134">
                  <c:v>21818458084.289383</c:v>
                </c:pt>
                <c:pt idx="135">
                  <c:v>26060302888.718494</c:v>
                </c:pt>
                <c:pt idx="136">
                  <c:v>31126827754.19273</c:v>
                </c:pt>
                <c:pt idx="137">
                  <c:v>37178363205.387405</c:v>
                </c:pt>
                <c:pt idx="138">
                  <c:v>44406410494.096046</c:v>
                </c:pt>
                <c:pt idx="139">
                  <c:v>53039701669.395096</c:v>
                </c:pt>
                <c:pt idx="140">
                  <c:v>63351437818.926094</c:v>
                </c:pt>
                <c:pt idx="141">
                  <c:v>75667934535.934036</c:v>
                </c:pt>
                <c:pt idx="142">
                  <c:v>90378948198.455536</c:v>
                </c:pt>
                <c:pt idx="143">
                  <c:v>107950009836.46553</c:v>
                </c:pt>
              </c:numCache>
            </c:numRef>
          </c:xVal>
          <c:yVal>
            <c:numRef>
              <c:f>Calcs!$AI$14:$AI$157</c:f>
              <c:numCache>
                <c:formatCode>0.00E+00</c:formatCode>
                <c:ptCount val="144"/>
                <c:pt idx="0">
                  <c:v>8.2349201186957648E-3</c:v>
                </c:pt>
                <c:pt idx="1">
                  <c:v>8.2354958832235314E-3</c:v>
                </c:pt>
                <c:pt idx="2">
                  <c:v>8.2361251574669999E-3</c:v>
                </c:pt>
                <c:pt idx="3">
                  <c:v>8.2368129178911828E-3</c:v>
                </c:pt>
                <c:pt idx="4">
                  <c:v>8.2375646030473058E-3</c:v>
                </c:pt>
                <c:pt idx="5">
                  <c:v>8.2383861580657899E-3</c:v>
                </c:pt>
                <c:pt idx="6">
                  <c:v>8.2392840821298458E-3</c:v>
                </c:pt>
                <c:pt idx="7">
                  <c:v>8.2402654794053211E-3</c:v>
                </c:pt>
                <c:pt idx="8">
                  <c:v>8.2413381160702653E-3</c:v>
                </c:pt>
                <c:pt idx="9">
                  <c:v>8.2425104821165704E-3</c:v>
                </c:pt>
                <c:pt idx="10">
                  <c:v>8.2437918589098463E-3</c:v>
                </c:pt>
                <c:pt idx="11">
                  <c:v>8.2451923935267877E-3</c:v>
                </c:pt>
                <c:pt idx="12">
                  <c:v>8.2467231794031235E-3</c:v>
                </c:pt>
                <c:pt idx="13">
                  <c:v>8.2483963454327604E-3</c:v>
                </c:pt>
                <c:pt idx="14">
                  <c:v>8.2502251528475488E-3</c:v>
                </c:pt>
                <c:pt idx="15">
                  <c:v>8.2522241015667401E-3</c:v>
                </c:pt>
                <c:pt idx="16">
                  <c:v>8.2544090466695978E-3</c:v>
                </c:pt>
                <c:pt idx="17">
                  <c:v>8.2567973256887257E-3</c:v>
                </c:pt>
                <c:pt idx="18">
                  <c:v>8.2594078983552095E-3</c:v>
                </c:pt>
                <c:pt idx="19">
                  <c:v>8.2622614995084102E-3</c:v>
                </c:pt>
                <c:pt idx="20">
                  <c:v>8.2653808066393171E-3</c:v>
                </c:pt>
                <c:pt idx="21">
                  <c:v>8.2687906236166859E-3</c:v>
                </c:pt>
                <c:pt idx="22">
                  <c:v>8.2725180820282154E-3</c:v>
                </c:pt>
                <c:pt idx="23">
                  <c:v>8.2765928619666709E-3</c:v>
                </c:pt>
                <c:pt idx="24">
                  <c:v>8.2810474342688341E-3</c:v>
                </c:pt>
                <c:pt idx="25">
                  <c:v>8.2859173262821439E-3</c:v>
                </c:pt>
                <c:pt idx="26">
                  <c:v>8.291241413552081E-3</c:v>
                </c:pt>
                <c:pt idx="27">
                  <c:v>8.2970622401713177E-3</c:v>
                </c:pt>
                <c:pt idx="28">
                  <c:v>8.3034263706487053E-3</c:v>
                </c:pt>
                <c:pt idx="29">
                  <c:v>8.3103847766196753E-3</c:v>
                </c:pt>
                <c:pt idx="30">
                  <c:v>8.3179932620390962E-3</c:v>
                </c:pt>
                <c:pt idx="31">
                  <c:v>8.3263129309177602E-3</c:v>
                </c:pt>
                <c:pt idx="32">
                  <c:v>8.335410702153729E-3</c:v>
                </c:pt>
                <c:pt idx="33">
                  <c:v>8.3453598765234147E-3</c:v>
                </c:pt>
                <c:pt idx="34">
                  <c:v>8.3562407615087129E-3</c:v>
                </c:pt>
                <c:pt idx="35">
                  <c:v>8.368141360328131E-3</c:v>
                </c:pt>
                <c:pt idx="36">
                  <c:v>8.3811581323215111E-3</c:v>
                </c:pt>
                <c:pt idx="37">
                  <c:v>8.3953968327028367E-3</c:v>
                </c:pt>
                <c:pt idx="38">
                  <c:v>8.4109734407344181E-3</c:v>
                </c:pt>
                <c:pt idx="39">
                  <c:v>8.4280151865126617E-3</c:v>
                </c:pt>
                <c:pt idx="40">
                  <c:v>8.4466616878835863E-3</c:v>
                </c:pt>
                <c:pt idx="41">
                  <c:v>8.4670662105028761E-3</c:v>
                </c:pt>
                <c:pt idx="42">
                  <c:v>8.4893970658005413E-3</c:v>
                </c:pt>
                <c:pt idx="43">
                  <c:v>8.513839163582157E-3</c:v>
                </c:pt>
                <c:pt idx="44">
                  <c:v>8.5405957382811825E-3</c:v>
                </c:pt>
                <c:pt idx="45">
                  <c:v>8.5698902704870895E-3</c:v>
                </c:pt>
                <c:pt idx="46">
                  <c:v>8.6019686283867955E-3</c:v>
                </c:pt>
                <c:pt idx="47">
                  <c:v>8.637101457205431E-3</c:v>
                </c:pt>
                <c:pt idx="48">
                  <c:v>8.6755868487063161E-3</c:v>
                </c:pt>
                <c:pt idx="49">
                  <c:v>8.7177533273752016E-3</c:v>
                </c:pt>
                <c:pt idx="50">
                  <c:v>8.7639631951489036E-3</c:v>
                </c:pt>
                <c:pt idx="51">
                  <c:v>8.8146162825609997E-3</c:v>
                </c:pt>
                <c:pt idx="52">
                  <c:v>8.8701541610549314E-3</c:v>
                </c:pt>
                <c:pt idx="53">
                  <c:v>8.9310648790719462E-3</c:v>
                </c:pt>
                <c:pt idx="54">
                  <c:v>8.9978882934724034E-3</c:v>
                </c:pt>
                <c:pt idx="55">
                  <c:v>9.0712220779981742E-3</c:v>
                </c:pt>
                <c:pt idx="56">
                  <c:v>9.1517285019432817E-3</c:v>
                </c:pt>
                <c:pt idx="57">
                  <c:v>9.2401420850481003E-3</c:v>
                </c:pt>
                <c:pt idx="58">
                  <c:v>9.3372782489252945E-3</c:v>
                </c:pt>
                <c:pt idx="59">
                  <c:v>9.444043101054643E-3</c:v>
                </c:pt>
                <c:pt idx="60">
                  <c:v>9.5614445044571953E-3</c:v>
                </c:pt>
                <c:pt idx="61">
                  <c:v>9.6906046043508005E-3</c:v>
                </c:pt>
                <c:pt idx="62">
                  <c:v>9.8327740019869252E-3</c:v>
                </c:pt>
                <c:pt idx="63">
                  <c:v>9.9893477847949295E-3</c:v>
                </c:pt>
                <c:pt idx="64">
                  <c:v>1.0161883639874521E-2</c:v>
                </c:pt>
                <c:pt idx="65">
                  <c:v>1.0352122293255802E-2</c:v>
                </c:pt>
                <c:pt idx="66">
                  <c:v>1.0562010528032196E-2</c:v>
                </c:pt>
                <c:pt idx="67">
                  <c:v>1.079372703750619E-2</c:v>
                </c:pt>
                <c:pt idx="68">
                  <c:v>1.1049711360930617E-2</c:v>
                </c:pt>
                <c:pt idx="69">
                  <c:v>1.1332696124194892E-2</c:v>
                </c:pt>
                <c:pt idx="70">
                  <c:v>1.1645742759565593E-2</c:v>
                </c:pt>
                <c:pt idx="71">
                  <c:v>1.1992280799818067E-2</c:v>
                </c:pt>
                <c:pt idx="72">
                  <c:v>1.2376150724389228E-2</c:v>
                </c:pt>
                <c:pt idx="73">
                  <c:v>1.2801650170070596E-2</c:v>
                </c:pt>
                <c:pt idx="74">
                  <c:v>1.3273583099244427E-2</c:v>
                </c:pt>
                <c:pt idx="75">
                  <c:v>1.3797311241847608E-2</c:v>
                </c:pt>
                <c:pt idx="76">
                  <c:v>1.4378806798412767E-2</c:v>
                </c:pt>
                <c:pt idx="77">
                  <c:v>1.5024705029925573E-2</c:v>
                </c:pt>
                <c:pt idx="78">
                  <c:v>1.5742355006424895E-2</c:v>
                </c:pt>
                <c:pt idx="79">
                  <c:v>1.6539866510218267E-2</c:v>
                </c:pt>
                <c:pt idx="80">
                  <c:v>1.7426150997025786E-2</c:v>
                </c:pt>
                <c:pt idx="81">
                  <c:v>1.8410954751089337E-2</c:v>
                </c:pt>
                <c:pt idx="82">
                  <c:v>1.9504883093362256E-2</c:v>
                </c:pt>
                <c:pt idx="83">
                  <c:v>2.071941586943225E-2</c:v>
                </c:pt>
                <c:pt idx="84">
                  <c:v>2.2066916536622742E-2</c:v>
                </c:pt>
                <c:pt idx="85">
                  <c:v>2.3560639906957909E-2</c:v>
                </c:pt>
                <c:pt idx="86">
                  <c:v>2.5214746648338383E-2</c:v>
                </c:pt>
                <c:pt idx="87">
                  <c:v>2.704433535670157E-2</c:v>
                </c:pt>
                <c:pt idx="88">
                  <c:v>2.9065504492059104E-2</c:v>
                </c:pt>
                <c:pt idx="89">
                  <c:v>3.1295455798165624E-2</c:v>
                </c:pt>
                <c:pt idx="90">
                  <c:v>3.3752647434537583E-2</c:v>
                </c:pt>
                <c:pt idx="91">
                  <c:v>3.6456999161760373E-2</c:v>
                </c:pt>
                <c:pt idx="92">
                  <c:v>3.9430144777660991E-2</c:v>
                </c:pt>
                <c:pt idx="93">
                  <c:v>4.2695720663978337E-2</c:v>
                </c:pt>
                <c:pt idx="94">
                  <c:v>4.6279675952969043E-2</c:v>
                </c:pt>
                <c:pt idx="95">
                  <c:v>5.0210590814470872E-2</c:v>
                </c:pt>
                <c:pt idx="96">
                  <c:v>5.4519994510050608E-2</c:v>
                </c:pt>
                <c:pt idx="97">
                  <c:v>5.9242682413811955E-2</c:v>
                </c:pt>
                <c:pt idx="98">
                  <c:v>6.4417038602368373E-2</c:v>
                </c:pt>
                <c:pt idx="99">
                  <c:v>7.0085375653134205E-2</c:v>
                </c:pt>
                <c:pt idx="100">
                  <c:v>7.6294305005020518E-2</c:v>
                </c:pt>
                <c:pt idx="101">
                  <c:v>8.309515014948049E-2</c:v>
                </c:pt>
                <c:pt idx="102">
                  <c:v>9.0544412504041091E-2</c:v>
                </c:pt>
                <c:pt idx="103">
                  <c:v>9.8704297625963208E-2</c:v>
                </c:pt>
                <c:pt idx="104">
                  <c:v>0.10764330839751433</c:v>
                </c:pt>
                <c:pt idx="105">
                  <c:v>0.11743691212101687</c:v>
                </c:pt>
                <c:pt idx="106">
                  <c:v>0.12816828975083724</c:v>
                </c:pt>
                <c:pt idx="107">
                  <c:v>0.13992917730389298</c:v>
                </c:pt>
                <c:pt idx="108">
                  <c:v>0.15282081153745625</c:v>
                </c:pt>
                <c:pt idx="109">
                  <c:v>0.16695499418713844</c:v>
                </c:pt>
                <c:pt idx="110">
                  <c:v>0.18245529148143971</c:v>
                </c:pt>
                <c:pt idx="111">
                  <c:v>0.19945838840232094</c:v>
                </c:pt>
                <c:pt idx="112">
                  <c:v>0.218115620355507</c:v>
                </c:pt>
                <c:pt idx="113">
                  <c:v>0.23859470865614615</c:v>
                </c:pt>
                <c:pt idx="114">
                  <c:v>0.26108173063580786</c:v>
                </c:pt>
                <c:pt idx="115">
                  <c:v>0.28578336036077151</c:v>
                </c:pt>
                <c:pt idx="116">
                  <c:v>0.31292942206601931</c:v>
                </c:pt>
                <c:pt idx="117">
                  <c:v>0.34277580562859755</c:v>
                </c:pt>
                <c:pt idx="118">
                  <c:v>0.37560780193542309</c:v>
                </c:pt>
                <c:pt idx="119">
                  <c:v>0.411743926091095</c:v>
                </c:pt>
                <c:pt idx="120">
                  <c:v>0.45154030835493975</c:v>
                </c:pt>
                <c:pt idx="121">
                  <c:v>0.49539574684373233</c:v>
                </c:pt>
                <c:pt idx="122">
                  <c:v>0.54375753280487915</c:v>
                </c:pt>
                <c:pt idx="123">
                  <c:v>0.59712817915198269</c:v>
                </c:pt>
                <c:pt idx="124">
                  <c:v>0.65607320655400181</c:v>
                </c:pt>
                <c:pt idx="125">
                  <c:v>0.72123016938806594</c:v>
                </c:pt>
                <c:pt idx="126">
                  <c:v>0.79331913714812341</c:v>
                </c:pt>
                <c:pt idx="127">
                  <c:v>0.87315488645313066</c:v>
                </c:pt>
                <c:pt idx="128">
                  <c:v>0.96166110581974173</c:v>
                </c:pt>
                <c:pt idx="129">
                  <c:v>1.059886971287217</c:v>
                </c:pt>
                <c:pt idx="130">
                  <c:v>1.1690265175149068</c:v>
                </c:pt>
                <c:pt idx="131">
                  <c:v>1.2904413081535153</c:v>
                </c:pt>
                <c:pt idx="132">
                  <c:v>1.4256870035528331</c:v>
                </c:pt>
                <c:pt idx="133">
                  <c:v>1.5765445361135557</c:v>
                </c:pt>
                <c:pt idx="134">
                  <c:v>1.7450567372836208</c:v>
                </c:pt>
                <c:pt idx="135">
                  <c:v>1.9335714194752789</c:v>
                </c:pt>
                <c:pt idx="136">
                  <c:v>2.1447921059735875</c:v>
                </c:pt>
                <c:pt idx="137">
                  <c:v>2.3818378281119843</c:v>
                </c:pt>
                <c:pt idx="138">
                  <c:v>2.6483136786394281</c:v>
                </c:pt>
                <c:pt idx="139">
                  <c:v>2.9483941316928943</c:v>
                </c:pt>
                <c:pt idx="140">
                  <c:v>3.2869215231431594</c:v>
                </c:pt>
                <c:pt idx="141">
                  <c:v>3.6695225422690601</c:v>
                </c:pt>
                <c:pt idx="142">
                  <c:v>4.10274613102529</c:v>
                </c:pt>
                <c:pt idx="143">
                  <c:v>4.5942268376631006</c:v>
                </c:pt>
              </c:numCache>
            </c:numRef>
          </c:yVal>
          <c:smooth val="1"/>
          <c:extLst>
            <c:ext xmlns:c16="http://schemas.microsoft.com/office/drawing/2014/chart" uri="{C3380CC4-5D6E-409C-BE32-E72D297353CC}">
              <c16:uniqueId val="{00000004-7B5D-409C-BCBE-258E8420E8F9}"/>
            </c:ext>
          </c:extLst>
        </c:ser>
        <c:dLbls>
          <c:showLegendKey val="0"/>
          <c:showVal val="0"/>
          <c:showCatName val="0"/>
          <c:showSerName val="0"/>
          <c:showPercent val="0"/>
          <c:showBubbleSize val="0"/>
        </c:dLbls>
        <c:axId val="217630408"/>
        <c:axId val="217631584"/>
      </c:scatterChart>
      <c:valAx>
        <c:axId val="217630408"/>
        <c:scaling>
          <c:logBase val="10"/>
          <c:orientation val="minMax"/>
        </c:scaling>
        <c:delete val="0"/>
        <c:axPos val="b"/>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Frequency (Hz)</a:t>
                </a:r>
              </a:p>
            </c:rich>
          </c:tx>
          <c:layout>
            <c:manualLayout>
              <c:xMode val="edge"/>
              <c:yMode val="edge"/>
              <c:x val="0.44624745068195454"/>
              <c:y val="0.906166359471524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631584"/>
        <c:crossesAt val="1.0000000000000001E-30"/>
        <c:crossBetween val="midCat"/>
      </c:valAx>
      <c:valAx>
        <c:axId val="217631584"/>
        <c:scaling>
          <c:logBase val="10"/>
          <c:orientation val="minMax"/>
          <c:min val="1E-3"/>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US"/>
                  <a:t>Loss (dB/foot)</a:t>
                </a:r>
              </a:p>
            </c:rich>
          </c:tx>
          <c:layout>
            <c:manualLayout>
              <c:xMode val="edge"/>
              <c:yMode val="edge"/>
              <c:x val="2.6369179154723005E-2"/>
              <c:y val="0.36193039981914576"/>
            </c:manualLayout>
          </c:layout>
          <c:overlay val="0"/>
          <c:spPr>
            <a:noFill/>
            <a:ln w="25400">
              <a:noFill/>
            </a:ln>
          </c:spPr>
        </c:title>
        <c:numFmt formatCode="0.00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7630408"/>
        <c:crosses val="autoZero"/>
        <c:crossBetween val="midCat"/>
      </c:valAx>
      <c:spPr>
        <a:noFill/>
        <a:ln w="12700">
          <a:solidFill>
            <a:srgbClr val="808080"/>
          </a:solidFill>
          <a:prstDash val="solid"/>
        </a:ln>
      </c:spPr>
    </c:plotArea>
    <c:legend>
      <c:legendPos val="r"/>
      <c:layout>
        <c:manualLayout>
          <c:xMode val="edge"/>
          <c:yMode val="edge"/>
          <c:x val="0.2292088713925739"/>
          <c:y val="0.17962455845683781"/>
          <c:w val="0.308316408856743"/>
          <c:h val="0.2707774791379917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42D2491-D29E-4D57-9611-799D21B394AF}">
  <sheetPr/>
  <sheetViews>
    <sheetView zoomScale="81" workbookViewId="0" zoomToFit="1"/>
  </sheetViews>
  <pageMargins left="0.7" right="0.7" top="0.75" bottom="0.75" header="0.3" footer="0.3"/>
  <pageSetup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144" workbookViewId="0"/>
  </sheetViews>
  <pageMargins left="0.75" right="2.5" top="1" bottom="6" header="0.5" footer="0.5"/>
  <pageSetup orientation="portrait"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5389A29-6FAC-4604-93ED-96F93739A27A}">
  <sheetPr/>
  <sheetViews>
    <sheetView zoomScale="81"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43" workbookViewId="0"/>
  </sheetViews>
  <pageMargins left="0.75" right="2.5" top="1" bottom="6" header="0.5" footer="0.5"/>
  <pageSetup orientation="portrait" horizontalDpi="200" verticalDpi="200"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43" workbookViewId="0"/>
  </sheetViews>
  <pageMargins left="0.75" right="2.5" top="1" bottom="6" header="0.5" footer="0.5"/>
  <pageSetup orientation="portrait" horizontalDpi="200" verticalDpi="2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6" workbookViewId="0"/>
  </sheetViews>
  <pageMargins left="0.75" right="2.5" top="1" bottom="6" header="0.5" footer="0.5"/>
  <pageSetup orientation="portrait" horizontalDpi="300" verticalDpi="300"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36" workbookViewId="0"/>
  </sheetViews>
  <pageMargins left="0.75" right="2.5" top="1" bottom="6" header="0.5" footer="0.5"/>
  <pageSetup orientation="portrait" horizontalDpi="300" verticalDpi="300"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44" workbookViewId="0"/>
  </sheetViews>
  <pageMargins left="0.75" right="2.5" top="1" bottom="6" header="0.5" footer="0.5"/>
  <pageSetup orientation="portrait" horizontalDpi="300" verticalDpi="300"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44" workbookViewId="0"/>
  </sheetViews>
  <pageMargins left="0.75" right="2.5" top="1" bottom="6" header="0.5" footer="0.5"/>
  <pageSetup orientation="portrait" horizontalDpi="300" verticalDpi="300" r:id="rId1"/>
  <headerFooter alignWithMargins="0"/>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44" workbookViewId="0"/>
  </sheetViews>
  <pageMargins left="0.75" right="2.5" top="1" bottom="6" header="0.5" footer="0.5"/>
  <pageSetup orientation="portrait" horizontalDpi="300" verticalDpi="300" r:id="rId1"/>
  <headerFooter alignWithMargins="0"/>
  <drawing r:id="rId2"/>
</chartsheet>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xdr:colOff>
          <xdr:row>25</xdr:row>
          <xdr:rowOff>76200</xdr:rowOff>
        </xdr:from>
        <xdr:to>
          <xdr:col>21</xdr:col>
          <xdr:colOff>7620</xdr:colOff>
          <xdr:row>32</xdr:row>
          <xdr:rowOff>30480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54512</xdr:colOff>
      <xdr:row>39</xdr:row>
      <xdr:rowOff>13628</xdr:rowOff>
    </xdr:from>
    <xdr:to>
      <xdr:col>20</xdr:col>
      <xdr:colOff>340262</xdr:colOff>
      <xdr:row>53</xdr:row>
      <xdr:rowOff>120601</xdr:rowOff>
    </xdr:to>
    <xdr:pic>
      <xdr:nvPicPr>
        <xdr:cNvPr id="3155" name="Picture 5">
          <a:extLst>
            <a:ext uri="{FF2B5EF4-FFF2-40B4-BE49-F238E27FC236}">
              <a16:creationId xmlns:a16="http://schemas.microsoft.com/office/drawing/2014/main" id="{00000000-0008-0000-0000-00005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7712" y="6414428"/>
          <a:ext cx="2114550" cy="240469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400050</xdr:colOff>
      <xdr:row>63</xdr:row>
      <xdr:rowOff>116205</xdr:rowOff>
    </xdr:from>
    <xdr:to>
      <xdr:col>4</xdr:col>
      <xdr:colOff>333375</xdr:colOff>
      <xdr:row>74</xdr:row>
      <xdr:rowOff>78105</xdr:rowOff>
    </xdr:to>
    <xdr:pic>
      <xdr:nvPicPr>
        <xdr:cNvPr id="3156" name="Picture 7">
          <a:extLst>
            <a:ext uri="{FF2B5EF4-FFF2-40B4-BE49-F238E27FC236}">
              <a16:creationId xmlns:a16="http://schemas.microsoft.com/office/drawing/2014/main" id="{00000000-0008-0000-0000-00005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677525"/>
          <a:ext cx="2371725" cy="18059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18</xdr:col>
      <xdr:colOff>257908</xdr:colOff>
      <xdr:row>39</xdr:row>
      <xdr:rowOff>140677</xdr:rowOff>
    </xdr:from>
    <xdr:to>
      <xdr:col>21</xdr:col>
      <xdr:colOff>458958</xdr:colOff>
      <xdr:row>40</xdr:row>
      <xdr:rowOff>44695</xdr:rowOff>
    </xdr:to>
    <xdr:sp macro="" textlink="">
      <xdr:nvSpPr>
        <xdr:cNvPr id="3157" name="Line 9">
          <a:extLst>
            <a:ext uri="{FF2B5EF4-FFF2-40B4-BE49-F238E27FC236}">
              <a16:creationId xmlns:a16="http://schemas.microsoft.com/office/drawing/2014/main" id="{00000000-0008-0000-0000-0000550C0000}"/>
            </a:ext>
          </a:extLst>
        </xdr:cNvPr>
        <xdr:cNvSpPr>
          <a:spLocks noChangeShapeType="1"/>
        </xdr:cNvSpPr>
      </xdr:nvSpPr>
      <xdr:spPr bwMode="auto">
        <a:xfrm flipH="1" flipV="1">
          <a:off x="11230708" y="6541477"/>
          <a:ext cx="2029850" cy="6814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16119</xdr:colOff>
      <xdr:row>38</xdr:row>
      <xdr:rowOff>160459</xdr:rowOff>
    </xdr:from>
    <xdr:to>
      <xdr:col>23</xdr:col>
      <xdr:colOff>257735</xdr:colOff>
      <xdr:row>43</xdr:row>
      <xdr:rowOff>22412</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13328707" y="6547812"/>
          <a:ext cx="846734" cy="70239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should be 140.4</a:t>
          </a:r>
        </a:p>
        <a:p>
          <a:pPr algn="l" rtl="0">
            <a:defRPr sz="1000"/>
          </a:pPr>
          <a:r>
            <a:rPr lang="en-US" sz="1000" b="0" i="0" u="none" strike="noStrike" baseline="0">
              <a:solidFill>
                <a:srgbClr val="000000"/>
              </a:solidFill>
              <a:latin typeface="Arial"/>
              <a:cs typeface="Arial"/>
            </a:rPr>
            <a:t>Doh!</a:t>
          </a:r>
        </a:p>
      </xdr:txBody>
    </xdr:sp>
    <xdr:clientData/>
  </xdr:twoCellAnchor>
  <xdr:twoCellAnchor>
    <xdr:from>
      <xdr:col>0</xdr:col>
      <xdr:colOff>114300</xdr:colOff>
      <xdr:row>0</xdr:row>
      <xdr:rowOff>142875</xdr:rowOff>
    </xdr:from>
    <xdr:to>
      <xdr:col>16</xdr:col>
      <xdr:colOff>280147</xdr:colOff>
      <xdr:row>60</xdr:row>
      <xdr:rowOff>68580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114300" y="142875"/>
          <a:ext cx="9847729" cy="100109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Coax_Microwaves101_Rev4.xlsx</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Update May 2020: If you have a previous version of theos coax spreadsheet, do us both a favor and delete it... Added temperature coefficient of resistance data, spreadsheet can now calculate coax loss over temperature. We put in TCR data in the material look up table if it was available... if you use some of the more exotic materials you will get a "No data" error. Note that dielectric loss tangents don't have the ability to vary over temperature in this spreadsheet. Added a three-temperature plot where you get to pick the temperatures.</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Fixed a few problems with the surface roughness calculation, including that it blew up if you entered "0", and its effect was somehow squared.  Why did no one ever complain? We added a plot to show the surface roughness factor, which is between 100% (no effect) and 200% (maximum effect) for center and outer conductors. Surface roughness is now correct to thsi reference:</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a:effectLst/>
              <a:latin typeface="Arial" panose="020B0604020202020204" pitchFamily="34" charset="0"/>
              <a:ea typeface="+mn-ea"/>
              <a:cs typeface="Arial" panose="020B0604020202020204" pitchFamily="34" charset="0"/>
            </a:rPr>
            <a:t>E. O. Hammerstad and F. Bekkadal, </a:t>
          </a:r>
          <a:r>
            <a:rPr lang="en-US" sz="1000" b="0" i="1">
              <a:effectLst/>
              <a:latin typeface="Arial" panose="020B0604020202020204" pitchFamily="34" charset="0"/>
              <a:ea typeface="+mn-ea"/>
              <a:cs typeface="Arial" panose="020B0604020202020204" pitchFamily="34" charset="0"/>
            </a:rPr>
            <a:t>A Microstrip Handbook, ELAB Report</a:t>
          </a:r>
          <a:r>
            <a:rPr lang="en-US" sz="1000" b="0" i="0">
              <a:effectLst/>
              <a:latin typeface="Arial" panose="020B0604020202020204" pitchFamily="34" charset="0"/>
              <a:ea typeface="+mn-ea"/>
              <a:cs typeface="Arial" panose="020B0604020202020204" pitchFamily="34" charset="0"/>
            </a:rPr>
            <a:t>, STF 44 A74169, University of Trondheim, Norway, 1975, pp 98-110.</a:t>
          </a:r>
          <a:endParaRPr lang="en-US" sz="1000" b="0" i="0" u="none" strike="noStrike" baseline="0">
            <a:solidFill>
              <a:srgbClr val="000000"/>
            </a:solidFill>
            <a:latin typeface="Arial" panose="020B0604020202020204" pitchFamily="34" charset="0"/>
            <a:cs typeface="Arial" panose="020B0604020202020204" pitchFamily="34" charset="0"/>
          </a:endParaRPr>
        </a:p>
        <a:p>
          <a:pPr rtl="0"/>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Spreadsheet still does not analyze plated conductors.  Plated center conductors are popular, we intend to add this feature one of these days!</a:t>
          </a: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This spreadsheet has some very esoteric plots, meant to help understand what the loss contributors are.  If you just want a quick answer to "what's the loss" there is a single point calculation.</a:t>
          </a:r>
          <a:endParaRPr lang="en-US" sz="1000">
            <a:effectLst/>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September 2018. Now the pull-down units for diameter and length are independent.  Choices for diameter are inches and mm, while choices for length are feet, inches, meters and mm.  Thanks to Bob for the pointing out a potential problem, and helpful suggestions! Now saved in the latest .xlsx format. Fixed some typos.</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January 11, 2011.  Fixed loss tangent of foamed PTFE, now it is 0.00015.  Previously way too high!  Thanks to Joe for pointing this out.</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April 7, 2008 - Added Surface Roughness Effect Calculation. Ref. Ansoft HFSS manual. - Added resistivity of Stainless Steel</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November 20, 2007 - fixed a few more bugs in the look-up tables, it's always something!</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May 2007: We fixed a few more bugs, the cutoff frequency was previouly only valid for inches...</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April 2007:  We' added the offset coax calculation for Z0.  If you don't need it, ignore the "concentricity" parameter, but it's here if you need it. It doesn't affect the C' and G' calculations, we might add that on a future revision.  We also fixed a couple of math mistakes, so please delete previous versions of this spreadsheet calculator.  And we've started adding a list of dielectric materials which are access from a pull-down menu.</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Please send us reports of any problems or bugs and we'll fix them... This spreadsheet calculate parameters of coax cables.  It using the "more exact" equation for metal loss, which is ignored by expensive programs such as Agilent ADS.  Visit Microwaves101.com and look up "coax" to learn more. The calculation page may be locked, if you want to mess with it, ask us nicely or go make your own spreadsheet!</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Use the blue boxes on the "Enter data" worksheet to enter material properties and geometry. You can choose inches or millimeters as units to enter data using the drop-down menu.  The calculated values are presented using meters as well as feet.  Conductor and dielectric materials are accessed from pull-down menus; if you don't like what we've got, simply overwrite the parameters in the light blue cells.  You can also change values in the table or enter your own materials as "aaa User defined" etc.  Be careful, the list has to stay alphabetized or it won't work properly, a stupid quirk! (Leave the letters "aaa", "aab" and "aac" alone).  Frequency is entered in Hertz, to 10 GHz is entered at 1e10.</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Plots use logarithmic and linear scales for frequency.  Change them if you like!   The range of the plots is limited by the calculated cut-off frequency, you can overwrite the plot limits too.</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Here is what this spreadsheet calculates:</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Frequency-independent calculations:</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Characteristic impedance (ohms) with and without non-concentric conductors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Capacitance per length (pF/ft, pF/meter)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Inductance per length (nH per foot, nH/meter)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Cutoff frequency of undesirable TE10 mode</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Parallel conductance per length (mhos/foot, mhos/meter)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Loss due to conductivity of dielectric (dB/foot, dB/meter)</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Frequency dependent calculations:</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Series RF resistance per length, outer jacket (Ohms/foot, Ohms/meter)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Series RF resistance per length, inner conductor (Ohms/foot, Ohms/meter)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Loss due to metal, inner conductor (dB/foot, dB/m)</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Loss due to metal, outer conductor (dB/foot, dB/m)</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Loss due to dielectric loss tangent (dB/foot, dB/meter)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Total loss per length (dB/foot, dB/meter)</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Unknown Editor</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Microwaves101.com</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6</xdr:col>
      <xdr:colOff>541020</xdr:colOff>
      <xdr:row>61</xdr:row>
      <xdr:rowOff>93345</xdr:rowOff>
    </xdr:from>
    <xdr:to>
      <xdr:col>10</xdr:col>
      <xdr:colOff>255270</xdr:colOff>
      <xdr:row>74</xdr:row>
      <xdr:rowOff>30480</xdr:rowOff>
    </xdr:to>
    <xdr:grpSp>
      <xdr:nvGrpSpPr>
        <xdr:cNvPr id="3160" name="Group 11">
          <a:extLst>
            <a:ext uri="{FF2B5EF4-FFF2-40B4-BE49-F238E27FC236}">
              <a16:creationId xmlns:a16="http://schemas.microsoft.com/office/drawing/2014/main" id="{00000000-0008-0000-0000-0000580C0000}"/>
            </a:ext>
          </a:extLst>
        </xdr:cNvPr>
        <xdr:cNvGrpSpPr>
          <a:grpSpLocks/>
        </xdr:cNvGrpSpPr>
      </xdr:nvGrpSpPr>
      <xdr:grpSpPr bwMode="auto">
        <a:xfrm>
          <a:off x="4171726" y="10346727"/>
          <a:ext cx="2134720" cy="2122282"/>
          <a:chOff x="625" y="257"/>
          <a:chExt cx="203" cy="203"/>
        </a:xfrm>
      </xdr:grpSpPr>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690" y="331"/>
            <a:ext cx="31" cy="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a:t>
            </a:r>
          </a:p>
        </xdr:txBody>
      </xdr:sp>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728" y="297"/>
            <a:ext cx="30" cy="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b</a:t>
            </a:r>
          </a:p>
        </xdr:txBody>
      </xdr:sp>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764" y="309"/>
            <a:ext cx="30"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a:t>
            </a:r>
          </a:p>
        </xdr:txBody>
      </xdr:sp>
      <xdr:sp macro="" textlink="">
        <xdr:nvSpPr>
          <xdr:cNvPr id="3164" name="Oval 15">
            <a:extLst>
              <a:ext uri="{FF2B5EF4-FFF2-40B4-BE49-F238E27FC236}">
                <a16:creationId xmlns:a16="http://schemas.microsoft.com/office/drawing/2014/main" id="{00000000-0008-0000-0000-00005C0C0000}"/>
              </a:ext>
            </a:extLst>
          </xdr:cNvPr>
          <xdr:cNvSpPr>
            <a:spLocks noChangeArrowheads="1"/>
          </xdr:cNvSpPr>
        </xdr:nvSpPr>
        <xdr:spPr bwMode="auto">
          <a:xfrm>
            <a:off x="625" y="257"/>
            <a:ext cx="203" cy="2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65" name="Oval 16">
            <a:extLst>
              <a:ext uri="{FF2B5EF4-FFF2-40B4-BE49-F238E27FC236}">
                <a16:creationId xmlns:a16="http://schemas.microsoft.com/office/drawing/2014/main" id="{00000000-0008-0000-0000-00005D0C0000}"/>
              </a:ext>
            </a:extLst>
          </xdr:cNvPr>
          <xdr:cNvSpPr>
            <a:spLocks noChangeArrowheads="1"/>
          </xdr:cNvSpPr>
        </xdr:nvSpPr>
        <xdr:spPr bwMode="auto">
          <a:xfrm>
            <a:off x="645" y="276"/>
            <a:ext cx="165" cy="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66" name="Oval 17">
            <a:extLst>
              <a:ext uri="{FF2B5EF4-FFF2-40B4-BE49-F238E27FC236}">
                <a16:creationId xmlns:a16="http://schemas.microsoft.com/office/drawing/2014/main" id="{00000000-0008-0000-0000-00005E0C0000}"/>
              </a:ext>
            </a:extLst>
          </xdr:cNvPr>
          <xdr:cNvSpPr>
            <a:spLocks noChangeArrowheads="1"/>
          </xdr:cNvSpPr>
        </xdr:nvSpPr>
        <xdr:spPr bwMode="auto">
          <a:xfrm>
            <a:off x="705" y="335"/>
            <a:ext cx="47" cy="4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67" name="Line 18">
            <a:extLst>
              <a:ext uri="{FF2B5EF4-FFF2-40B4-BE49-F238E27FC236}">
                <a16:creationId xmlns:a16="http://schemas.microsoft.com/office/drawing/2014/main" id="{00000000-0008-0000-0000-00005F0C0000}"/>
              </a:ext>
            </a:extLst>
          </xdr:cNvPr>
          <xdr:cNvSpPr>
            <a:spLocks noChangeShapeType="1"/>
          </xdr:cNvSpPr>
        </xdr:nvSpPr>
        <xdr:spPr bwMode="auto">
          <a:xfrm flipV="1">
            <a:off x="731" y="281"/>
            <a:ext cx="25"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68" name="Line 19">
            <a:extLst>
              <a:ext uri="{FF2B5EF4-FFF2-40B4-BE49-F238E27FC236}">
                <a16:creationId xmlns:a16="http://schemas.microsoft.com/office/drawing/2014/main" id="{00000000-0008-0000-0000-0000600C0000}"/>
              </a:ext>
            </a:extLst>
          </xdr:cNvPr>
          <xdr:cNvSpPr>
            <a:spLocks noChangeShapeType="1"/>
          </xdr:cNvSpPr>
        </xdr:nvSpPr>
        <xdr:spPr bwMode="auto">
          <a:xfrm flipH="1" flipV="1">
            <a:off x="711" y="340"/>
            <a:ext cx="19"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69" name="Line 20">
            <a:extLst>
              <a:ext uri="{FF2B5EF4-FFF2-40B4-BE49-F238E27FC236}">
                <a16:creationId xmlns:a16="http://schemas.microsoft.com/office/drawing/2014/main" id="{00000000-0008-0000-0000-0000610C0000}"/>
              </a:ext>
            </a:extLst>
          </xdr:cNvPr>
          <xdr:cNvSpPr>
            <a:spLocks noChangeShapeType="1"/>
          </xdr:cNvSpPr>
        </xdr:nvSpPr>
        <xdr:spPr bwMode="auto">
          <a:xfrm flipV="1">
            <a:off x="732" y="305"/>
            <a:ext cx="81" cy="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17</xdr:col>
          <xdr:colOff>114300</xdr:colOff>
          <xdr:row>34</xdr:row>
          <xdr:rowOff>121920</xdr:rowOff>
        </xdr:from>
        <xdr:to>
          <xdr:col>20</xdr:col>
          <xdr:colOff>411480</xdr:colOff>
          <xdr:row>38</xdr:row>
          <xdr:rowOff>22860</xdr:rowOff>
        </xdr:to>
        <xdr:sp macro="" textlink="">
          <xdr:nvSpPr>
            <xdr:cNvPr id="3094" name="Object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18</xdr:col>
      <xdr:colOff>0</xdr:colOff>
      <xdr:row>59</xdr:row>
      <xdr:rowOff>0</xdr:rowOff>
    </xdr:from>
    <xdr:to>
      <xdr:col>21</xdr:col>
      <xdr:colOff>68580</xdr:colOff>
      <xdr:row>61</xdr:row>
      <xdr:rowOff>68580</xdr:rowOff>
    </xdr:to>
    <xdr:pic>
      <xdr:nvPicPr>
        <xdr:cNvPr id="21" name="Picture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72800" y="9890760"/>
          <a:ext cx="1897380" cy="40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6743700" cy="509778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6743700" cy="509778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6743700" cy="509778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6743700" cy="509778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5</xdr:col>
      <xdr:colOff>371475</xdr:colOff>
      <xdr:row>17</xdr:row>
      <xdr:rowOff>85725</xdr:rowOff>
    </xdr:from>
    <xdr:to>
      <xdr:col>7</xdr:col>
      <xdr:colOff>409575</xdr:colOff>
      <xdr:row>28</xdr:row>
      <xdr:rowOff>95250</xdr:rowOff>
    </xdr:to>
    <xdr:grpSp>
      <xdr:nvGrpSpPr>
        <xdr:cNvPr id="2283" name="Group 74">
          <a:extLst>
            <a:ext uri="{FF2B5EF4-FFF2-40B4-BE49-F238E27FC236}">
              <a16:creationId xmlns:a16="http://schemas.microsoft.com/office/drawing/2014/main" id="{00000000-0008-0000-0100-0000EB080000}"/>
            </a:ext>
          </a:extLst>
        </xdr:cNvPr>
        <xdr:cNvGrpSpPr>
          <a:grpSpLocks/>
        </xdr:cNvGrpSpPr>
      </xdr:nvGrpSpPr>
      <xdr:grpSpPr bwMode="auto">
        <a:xfrm>
          <a:off x="6134100" y="3000375"/>
          <a:ext cx="1485900" cy="1895475"/>
          <a:chOff x="788" y="361"/>
          <a:chExt cx="152" cy="183"/>
        </a:xfrm>
      </xdr:grpSpPr>
      <xdr:sp macro="" textlink="">
        <xdr:nvSpPr>
          <xdr:cNvPr id="2123" name="Text Box 75">
            <a:extLst>
              <a:ext uri="{FF2B5EF4-FFF2-40B4-BE49-F238E27FC236}">
                <a16:creationId xmlns:a16="http://schemas.microsoft.com/office/drawing/2014/main" id="{00000000-0008-0000-0100-00004B080000}"/>
              </a:ext>
            </a:extLst>
          </xdr:cNvPr>
          <xdr:cNvSpPr txBox="1">
            <a:spLocks noChangeArrowheads="1"/>
          </xdr:cNvSpPr>
        </xdr:nvSpPr>
        <xdr:spPr bwMode="auto">
          <a:xfrm>
            <a:off x="880" y="450"/>
            <a:ext cx="44"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ER</a:t>
            </a:r>
          </a:p>
        </xdr:txBody>
      </xdr:sp>
      <xdr:sp macro="" textlink="">
        <xdr:nvSpPr>
          <xdr:cNvPr id="2124" name="Text Box 76">
            <a:extLst>
              <a:ext uri="{FF2B5EF4-FFF2-40B4-BE49-F238E27FC236}">
                <a16:creationId xmlns:a16="http://schemas.microsoft.com/office/drawing/2014/main" id="{00000000-0008-0000-0100-00004C080000}"/>
              </a:ext>
            </a:extLst>
          </xdr:cNvPr>
          <xdr:cNvSpPr txBox="1">
            <a:spLocks noChangeArrowheads="1"/>
          </xdr:cNvSpPr>
        </xdr:nvSpPr>
        <xdr:spPr bwMode="auto">
          <a:xfrm>
            <a:off x="887" y="418"/>
            <a:ext cx="26" cy="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FF00FF"/>
                </a:solidFill>
                <a:latin typeface="Arial"/>
                <a:cs typeface="Arial"/>
              </a:rPr>
              <a:t>D</a:t>
            </a:r>
          </a:p>
        </xdr:txBody>
      </xdr:sp>
      <xdr:sp macro="" textlink="">
        <xdr:nvSpPr>
          <xdr:cNvPr id="2125" name="Text Box 77">
            <a:extLst>
              <a:ext uri="{FF2B5EF4-FFF2-40B4-BE49-F238E27FC236}">
                <a16:creationId xmlns:a16="http://schemas.microsoft.com/office/drawing/2014/main" id="{00000000-0008-0000-0100-00004D080000}"/>
              </a:ext>
            </a:extLst>
          </xdr:cNvPr>
          <xdr:cNvSpPr txBox="1">
            <a:spLocks noChangeArrowheads="1"/>
          </xdr:cNvSpPr>
        </xdr:nvSpPr>
        <xdr:spPr bwMode="auto">
          <a:xfrm>
            <a:off x="832" y="420"/>
            <a:ext cx="31" cy="2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FF"/>
                </a:solidFill>
                <a:latin typeface="Arial"/>
                <a:cs typeface="Arial"/>
              </a:rPr>
              <a:t>d</a:t>
            </a:r>
          </a:p>
        </xdr:txBody>
      </xdr:sp>
      <xdr:sp macro="" textlink="">
        <xdr:nvSpPr>
          <xdr:cNvPr id="2297" name="Oval 78">
            <a:extLst>
              <a:ext uri="{FF2B5EF4-FFF2-40B4-BE49-F238E27FC236}">
                <a16:creationId xmlns:a16="http://schemas.microsoft.com/office/drawing/2014/main" id="{00000000-0008-0000-0100-0000F9080000}"/>
              </a:ext>
            </a:extLst>
          </xdr:cNvPr>
          <xdr:cNvSpPr>
            <a:spLocks noChangeArrowheads="1"/>
          </xdr:cNvSpPr>
        </xdr:nvSpPr>
        <xdr:spPr bwMode="auto">
          <a:xfrm>
            <a:off x="808" y="382"/>
            <a:ext cx="113" cy="113"/>
          </a:xfrm>
          <a:prstGeom prst="ellipse">
            <a:avLst/>
          </a:prstGeom>
          <a:noFill/>
          <a:ln w="19050">
            <a:solidFill>
              <a:srgbClr xmlns:mc="http://schemas.openxmlformats.org/markup-compatibility/2006" xmlns:a14="http://schemas.microsoft.com/office/drawing/2010/main" val="FF00FF" mc:Ignorable="a14" a14:legacySpreadsheetColorIndex="1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298" name="Oval 79">
            <a:extLst>
              <a:ext uri="{FF2B5EF4-FFF2-40B4-BE49-F238E27FC236}">
                <a16:creationId xmlns:a16="http://schemas.microsoft.com/office/drawing/2014/main" id="{00000000-0008-0000-0100-0000FA080000}"/>
              </a:ext>
            </a:extLst>
          </xdr:cNvPr>
          <xdr:cNvSpPr>
            <a:spLocks noChangeArrowheads="1"/>
          </xdr:cNvSpPr>
        </xdr:nvSpPr>
        <xdr:spPr bwMode="auto">
          <a:xfrm>
            <a:off x="826" y="414"/>
            <a:ext cx="50" cy="50"/>
          </a:xfrm>
          <a:prstGeom prst="ellips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299" name="Line 80">
            <a:extLst>
              <a:ext uri="{FF2B5EF4-FFF2-40B4-BE49-F238E27FC236}">
                <a16:creationId xmlns:a16="http://schemas.microsoft.com/office/drawing/2014/main" id="{00000000-0008-0000-0100-0000FB080000}"/>
              </a:ext>
            </a:extLst>
          </xdr:cNvPr>
          <xdr:cNvSpPr>
            <a:spLocks noChangeShapeType="1"/>
          </xdr:cNvSpPr>
        </xdr:nvSpPr>
        <xdr:spPr bwMode="auto">
          <a:xfrm>
            <a:off x="865" y="361"/>
            <a:ext cx="0" cy="18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00" name="Line 81">
            <a:extLst>
              <a:ext uri="{FF2B5EF4-FFF2-40B4-BE49-F238E27FC236}">
                <a16:creationId xmlns:a16="http://schemas.microsoft.com/office/drawing/2014/main" id="{00000000-0008-0000-0100-0000FC080000}"/>
              </a:ext>
            </a:extLst>
          </xdr:cNvPr>
          <xdr:cNvSpPr>
            <a:spLocks noChangeShapeType="1"/>
          </xdr:cNvSpPr>
        </xdr:nvSpPr>
        <xdr:spPr bwMode="auto">
          <a:xfrm>
            <a:off x="788" y="439"/>
            <a:ext cx="152"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01" name="Line 82">
            <a:extLst>
              <a:ext uri="{FF2B5EF4-FFF2-40B4-BE49-F238E27FC236}">
                <a16:creationId xmlns:a16="http://schemas.microsoft.com/office/drawing/2014/main" id="{00000000-0008-0000-0100-0000FD080000}"/>
              </a:ext>
            </a:extLst>
          </xdr:cNvPr>
          <xdr:cNvSpPr>
            <a:spLocks noChangeShapeType="1"/>
          </xdr:cNvSpPr>
        </xdr:nvSpPr>
        <xdr:spPr bwMode="auto">
          <a:xfrm>
            <a:off x="850" y="438"/>
            <a:ext cx="0" cy="103"/>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2302" name="Line 83">
            <a:extLst>
              <a:ext uri="{FF2B5EF4-FFF2-40B4-BE49-F238E27FC236}">
                <a16:creationId xmlns:a16="http://schemas.microsoft.com/office/drawing/2014/main" id="{00000000-0008-0000-0100-0000FE080000}"/>
              </a:ext>
            </a:extLst>
          </xdr:cNvPr>
          <xdr:cNvSpPr>
            <a:spLocks noChangeShapeType="1"/>
          </xdr:cNvSpPr>
        </xdr:nvSpPr>
        <xdr:spPr bwMode="auto">
          <a:xfrm flipV="1">
            <a:off x="824" y="400"/>
            <a:ext cx="80" cy="80"/>
          </a:xfrm>
          <a:prstGeom prst="line">
            <a:avLst/>
          </a:prstGeom>
          <a:noFill/>
          <a:ln w="19050">
            <a:solidFill>
              <a:srgbClr xmlns:mc="http://schemas.openxmlformats.org/markup-compatibility/2006" xmlns:a14="http://schemas.microsoft.com/office/drawing/2010/main" val="FF00FF" mc:Ignorable="a14" a14:legacySpreadsheetColorIndex="1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03" name="Line 84">
            <a:extLst>
              <a:ext uri="{FF2B5EF4-FFF2-40B4-BE49-F238E27FC236}">
                <a16:creationId xmlns:a16="http://schemas.microsoft.com/office/drawing/2014/main" id="{00000000-0008-0000-0100-0000FF080000}"/>
              </a:ext>
            </a:extLst>
          </xdr:cNvPr>
          <xdr:cNvSpPr>
            <a:spLocks noChangeShapeType="1"/>
          </xdr:cNvSpPr>
        </xdr:nvSpPr>
        <xdr:spPr bwMode="auto">
          <a:xfrm flipV="1">
            <a:off x="832" y="421"/>
            <a:ext cx="36" cy="36"/>
          </a:xfrm>
          <a:prstGeom prst="line">
            <a:avLst/>
          </a:prstGeom>
          <a:noFill/>
          <a:ln w="19050">
            <a:solidFill>
              <a:srgbClr xmlns:mc="http://schemas.openxmlformats.org/markup-compatibility/2006" xmlns:a14="http://schemas.microsoft.com/office/drawing/2010/main" val="0000FF" mc:Ignorable="a14" a14:legacySpreadsheetColorIndex="12"/>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04" name="Line 85">
            <a:extLst>
              <a:ext uri="{FF2B5EF4-FFF2-40B4-BE49-F238E27FC236}">
                <a16:creationId xmlns:a16="http://schemas.microsoft.com/office/drawing/2014/main" id="{00000000-0008-0000-0100-000000090000}"/>
              </a:ext>
            </a:extLst>
          </xdr:cNvPr>
          <xdr:cNvSpPr>
            <a:spLocks noChangeShapeType="1"/>
          </xdr:cNvSpPr>
        </xdr:nvSpPr>
        <xdr:spPr bwMode="auto">
          <a:xfrm>
            <a:off x="801" y="527"/>
            <a:ext cx="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5" name="Line 86">
            <a:extLst>
              <a:ext uri="{FF2B5EF4-FFF2-40B4-BE49-F238E27FC236}">
                <a16:creationId xmlns:a16="http://schemas.microsoft.com/office/drawing/2014/main" id="{00000000-0008-0000-0100-000001090000}"/>
              </a:ext>
            </a:extLst>
          </xdr:cNvPr>
          <xdr:cNvSpPr>
            <a:spLocks noChangeShapeType="1"/>
          </xdr:cNvSpPr>
        </xdr:nvSpPr>
        <xdr:spPr bwMode="auto">
          <a:xfrm flipH="1">
            <a:off x="866" y="527"/>
            <a:ext cx="37"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135" name="Text Box 87">
            <a:extLst>
              <a:ext uri="{FF2B5EF4-FFF2-40B4-BE49-F238E27FC236}">
                <a16:creationId xmlns:a16="http://schemas.microsoft.com/office/drawing/2014/main" id="{00000000-0008-0000-0100-000057080000}"/>
              </a:ext>
            </a:extLst>
          </xdr:cNvPr>
          <xdr:cNvSpPr txBox="1">
            <a:spLocks noChangeArrowheads="1"/>
          </xdr:cNvSpPr>
        </xdr:nvSpPr>
        <xdr:spPr bwMode="auto">
          <a:xfrm>
            <a:off x="910" y="518"/>
            <a:ext cx="23" cy="2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a:t>
            </a:r>
          </a:p>
        </xdr:txBody>
      </xdr:sp>
    </xdr:grpSp>
    <xdr:clientData/>
  </xdr:twoCellAnchor>
  <xdr:twoCellAnchor>
    <xdr:from>
      <xdr:col>7</xdr:col>
      <xdr:colOff>523875</xdr:colOff>
      <xdr:row>27</xdr:row>
      <xdr:rowOff>152400</xdr:rowOff>
    </xdr:from>
    <xdr:to>
      <xdr:col>11</xdr:col>
      <xdr:colOff>200025</xdr:colOff>
      <xdr:row>49</xdr:row>
      <xdr:rowOff>9525</xdr:rowOff>
    </xdr:to>
    <xdr:grpSp>
      <xdr:nvGrpSpPr>
        <xdr:cNvPr id="2284" name="Group 93">
          <a:extLst>
            <a:ext uri="{FF2B5EF4-FFF2-40B4-BE49-F238E27FC236}">
              <a16:creationId xmlns:a16="http://schemas.microsoft.com/office/drawing/2014/main" id="{00000000-0008-0000-0100-0000EC080000}"/>
            </a:ext>
          </a:extLst>
        </xdr:cNvPr>
        <xdr:cNvGrpSpPr>
          <a:grpSpLocks/>
        </xdr:cNvGrpSpPr>
      </xdr:nvGrpSpPr>
      <xdr:grpSpPr bwMode="auto">
        <a:xfrm>
          <a:off x="7734300" y="4781550"/>
          <a:ext cx="3781425" cy="3629025"/>
          <a:chOff x="625" y="257"/>
          <a:chExt cx="203" cy="203"/>
        </a:xfrm>
      </xdr:grpSpPr>
      <xdr:sp macro="" textlink="">
        <xdr:nvSpPr>
          <xdr:cNvPr id="2142" name="Text Box 94">
            <a:extLst>
              <a:ext uri="{FF2B5EF4-FFF2-40B4-BE49-F238E27FC236}">
                <a16:creationId xmlns:a16="http://schemas.microsoft.com/office/drawing/2014/main" id="{00000000-0008-0000-0100-00005E080000}"/>
              </a:ext>
            </a:extLst>
          </xdr:cNvPr>
          <xdr:cNvSpPr txBox="1">
            <a:spLocks noChangeArrowheads="1"/>
          </xdr:cNvSpPr>
        </xdr:nvSpPr>
        <xdr:spPr bwMode="auto">
          <a:xfrm>
            <a:off x="690" y="331"/>
            <a:ext cx="31"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a:t>
            </a:r>
          </a:p>
        </xdr:txBody>
      </xdr:sp>
      <xdr:sp macro="" textlink="">
        <xdr:nvSpPr>
          <xdr:cNvPr id="2143" name="Text Box 95">
            <a:extLst>
              <a:ext uri="{FF2B5EF4-FFF2-40B4-BE49-F238E27FC236}">
                <a16:creationId xmlns:a16="http://schemas.microsoft.com/office/drawing/2014/main" id="{00000000-0008-0000-0100-00005F080000}"/>
              </a:ext>
            </a:extLst>
          </xdr:cNvPr>
          <xdr:cNvSpPr txBox="1">
            <a:spLocks noChangeArrowheads="1"/>
          </xdr:cNvSpPr>
        </xdr:nvSpPr>
        <xdr:spPr bwMode="auto">
          <a:xfrm>
            <a:off x="728" y="297"/>
            <a:ext cx="30" cy="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b</a:t>
            </a:r>
          </a:p>
        </xdr:txBody>
      </xdr:sp>
      <xdr:sp macro="" textlink="">
        <xdr:nvSpPr>
          <xdr:cNvPr id="2144" name="Text Box 96">
            <a:extLst>
              <a:ext uri="{FF2B5EF4-FFF2-40B4-BE49-F238E27FC236}">
                <a16:creationId xmlns:a16="http://schemas.microsoft.com/office/drawing/2014/main" id="{00000000-0008-0000-0100-000060080000}"/>
              </a:ext>
            </a:extLst>
          </xdr:cNvPr>
          <xdr:cNvSpPr txBox="1">
            <a:spLocks noChangeArrowheads="1"/>
          </xdr:cNvSpPr>
        </xdr:nvSpPr>
        <xdr:spPr bwMode="auto">
          <a:xfrm>
            <a:off x="764" y="309"/>
            <a:ext cx="30"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a:t>
            </a:r>
          </a:p>
        </xdr:txBody>
      </xdr:sp>
      <xdr:sp macro="" textlink="">
        <xdr:nvSpPr>
          <xdr:cNvPr id="2288" name="Oval 97">
            <a:extLst>
              <a:ext uri="{FF2B5EF4-FFF2-40B4-BE49-F238E27FC236}">
                <a16:creationId xmlns:a16="http://schemas.microsoft.com/office/drawing/2014/main" id="{00000000-0008-0000-0100-0000F0080000}"/>
              </a:ext>
            </a:extLst>
          </xdr:cNvPr>
          <xdr:cNvSpPr>
            <a:spLocks noChangeArrowheads="1"/>
          </xdr:cNvSpPr>
        </xdr:nvSpPr>
        <xdr:spPr bwMode="auto">
          <a:xfrm>
            <a:off x="625" y="257"/>
            <a:ext cx="203" cy="2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289" name="Oval 98">
            <a:extLst>
              <a:ext uri="{FF2B5EF4-FFF2-40B4-BE49-F238E27FC236}">
                <a16:creationId xmlns:a16="http://schemas.microsoft.com/office/drawing/2014/main" id="{00000000-0008-0000-0100-0000F1080000}"/>
              </a:ext>
            </a:extLst>
          </xdr:cNvPr>
          <xdr:cNvSpPr>
            <a:spLocks noChangeArrowheads="1"/>
          </xdr:cNvSpPr>
        </xdr:nvSpPr>
        <xdr:spPr bwMode="auto">
          <a:xfrm>
            <a:off x="645" y="276"/>
            <a:ext cx="165" cy="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290" name="Oval 99">
            <a:extLst>
              <a:ext uri="{FF2B5EF4-FFF2-40B4-BE49-F238E27FC236}">
                <a16:creationId xmlns:a16="http://schemas.microsoft.com/office/drawing/2014/main" id="{00000000-0008-0000-0100-0000F2080000}"/>
              </a:ext>
            </a:extLst>
          </xdr:cNvPr>
          <xdr:cNvSpPr>
            <a:spLocks noChangeArrowheads="1"/>
          </xdr:cNvSpPr>
        </xdr:nvSpPr>
        <xdr:spPr bwMode="auto">
          <a:xfrm>
            <a:off x="705" y="335"/>
            <a:ext cx="47" cy="4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291" name="Line 100">
            <a:extLst>
              <a:ext uri="{FF2B5EF4-FFF2-40B4-BE49-F238E27FC236}">
                <a16:creationId xmlns:a16="http://schemas.microsoft.com/office/drawing/2014/main" id="{00000000-0008-0000-0100-0000F3080000}"/>
              </a:ext>
            </a:extLst>
          </xdr:cNvPr>
          <xdr:cNvSpPr>
            <a:spLocks noChangeShapeType="1"/>
          </xdr:cNvSpPr>
        </xdr:nvSpPr>
        <xdr:spPr bwMode="auto">
          <a:xfrm flipV="1">
            <a:off x="731" y="281"/>
            <a:ext cx="25"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92" name="Line 101">
            <a:extLst>
              <a:ext uri="{FF2B5EF4-FFF2-40B4-BE49-F238E27FC236}">
                <a16:creationId xmlns:a16="http://schemas.microsoft.com/office/drawing/2014/main" id="{00000000-0008-0000-0100-0000F4080000}"/>
              </a:ext>
            </a:extLst>
          </xdr:cNvPr>
          <xdr:cNvSpPr>
            <a:spLocks noChangeShapeType="1"/>
          </xdr:cNvSpPr>
        </xdr:nvSpPr>
        <xdr:spPr bwMode="auto">
          <a:xfrm flipH="1" flipV="1">
            <a:off x="711" y="340"/>
            <a:ext cx="19"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93" name="Line 102">
            <a:extLst>
              <a:ext uri="{FF2B5EF4-FFF2-40B4-BE49-F238E27FC236}">
                <a16:creationId xmlns:a16="http://schemas.microsoft.com/office/drawing/2014/main" id="{00000000-0008-0000-0100-0000F5080000}"/>
              </a:ext>
            </a:extLst>
          </xdr:cNvPr>
          <xdr:cNvSpPr>
            <a:spLocks noChangeShapeType="1"/>
          </xdr:cNvSpPr>
        </xdr:nvSpPr>
        <xdr:spPr bwMode="auto">
          <a:xfrm flipV="1">
            <a:off x="732" y="305"/>
            <a:ext cx="81" cy="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2</xdr:col>
      <xdr:colOff>371475</xdr:colOff>
      <xdr:row>21</xdr:row>
      <xdr:rowOff>0</xdr:rowOff>
    </xdr:to>
    <xdr:grpSp>
      <xdr:nvGrpSpPr>
        <xdr:cNvPr id="6197" name="Group 1">
          <a:extLst>
            <a:ext uri="{FF2B5EF4-FFF2-40B4-BE49-F238E27FC236}">
              <a16:creationId xmlns:a16="http://schemas.microsoft.com/office/drawing/2014/main" id="{00000000-0008-0000-0200-000035180000}"/>
            </a:ext>
          </a:extLst>
        </xdr:cNvPr>
        <xdr:cNvGrpSpPr>
          <a:grpSpLocks/>
        </xdr:cNvGrpSpPr>
      </xdr:nvGrpSpPr>
      <xdr:grpSpPr bwMode="auto">
        <a:xfrm>
          <a:off x="0" y="1676400"/>
          <a:ext cx="2162175" cy="2514600"/>
          <a:chOff x="625" y="257"/>
          <a:chExt cx="203" cy="203"/>
        </a:xfrm>
      </xdr:grpSpPr>
      <xdr:sp macro="" textlink="">
        <xdr:nvSpPr>
          <xdr:cNvPr id="6146" name="Text Box 2">
            <a:extLst>
              <a:ext uri="{FF2B5EF4-FFF2-40B4-BE49-F238E27FC236}">
                <a16:creationId xmlns:a16="http://schemas.microsoft.com/office/drawing/2014/main" id="{00000000-0008-0000-0200-000002180000}"/>
              </a:ext>
            </a:extLst>
          </xdr:cNvPr>
          <xdr:cNvSpPr txBox="1">
            <a:spLocks noChangeArrowheads="1"/>
          </xdr:cNvSpPr>
        </xdr:nvSpPr>
        <xdr:spPr bwMode="auto">
          <a:xfrm>
            <a:off x="690" y="331"/>
            <a:ext cx="30"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a:t>
            </a:r>
          </a:p>
        </xdr:txBody>
      </xdr:sp>
      <xdr:sp macro="" textlink="">
        <xdr:nvSpPr>
          <xdr:cNvPr id="6147" name="Text Box 3">
            <a:extLst>
              <a:ext uri="{FF2B5EF4-FFF2-40B4-BE49-F238E27FC236}">
                <a16:creationId xmlns:a16="http://schemas.microsoft.com/office/drawing/2014/main" id="{00000000-0008-0000-0200-000003180000}"/>
              </a:ext>
            </a:extLst>
          </xdr:cNvPr>
          <xdr:cNvSpPr txBox="1">
            <a:spLocks noChangeArrowheads="1"/>
          </xdr:cNvSpPr>
        </xdr:nvSpPr>
        <xdr:spPr bwMode="auto">
          <a:xfrm>
            <a:off x="728" y="297"/>
            <a:ext cx="29"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b</a:t>
            </a:r>
          </a:p>
        </xdr:txBody>
      </xdr:sp>
      <xdr:sp macro="" textlink="">
        <xdr:nvSpPr>
          <xdr:cNvPr id="6148" name="Text Box 4">
            <a:extLst>
              <a:ext uri="{FF2B5EF4-FFF2-40B4-BE49-F238E27FC236}">
                <a16:creationId xmlns:a16="http://schemas.microsoft.com/office/drawing/2014/main" id="{00000000-0008-0000-0200-000004180000}"/>
              </a:ext>
            </a:extLst>
          </xdr:cNvPr>
          <xdr:cNvSpPr txBox="1">
            <a:spLocks noChangeArrowheads="1"/>
          </xdr:cNvSpPr>
        </xdr:nvSpPr>
        <xdr:spPr bwMode="auto">
          <a:xfrm>
            <a:off x="764" y="309"/>
            <a:ext cx="30"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a:t>
            </a:r>
          </a:p>
        </xdr:txBody>
      </xdr:sp>
      <xdr:sp macro="" textlink="">
        <xdr:nvSpPr>
          <xdr:cNvPr id="6201" name="Oval 5">
            <a:extLst>
              <a:ext uri="{FF2B5EF4-FFF2-40B4-BE49-F238E27FC236}">
                <a16:creationId xmlns:a16="http://schemas.microsoft.com/office/drawing/2014/main" id="{00000000-0008-0000-0200-000039180000}"/>
              </a:ext>
            </a:extLst>
          </xdr:cNvPr>
          <xdr:cNvSpPr>
            <a:spLocks noChangeArrowheads="1"/>
          </xdr:cNvSpPr>
        </xdr:nvSpPr>
        <xdr:spPr bwMode="auto">
          <a:xfrm>
            <a:off x="625" y="257"/>
            <a:ext cx="203" cy="2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202" name="Oval 6">
            <a:extLst>
              <a:ext uri="{FF2B5EF4-FFF2-40B4-BE49-F238E27FC236}">
                <a16:creationId xmlns:a16="http://schemas.microsoft.com/office/drawing/2014/main" id="{00000000-0008-0000-0200-00003A180000}"/>
              </a:ext>
            </a:extLst>
          </xdr:cNvPr>
          <xdr:cNvSpPr>
            <a:spLocks noChangeArrowheads="1"/>
          </xdr:cNvSpPr>
        </xdr:nvSpPr>
        <xdr:spPr bwMode="auto">
          <a:xfrm>
            <a:off x="645" y="276"/>
            <a:ext cx="165" cy="16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203" name="Oval 7">
            <a:extLst>
              <a:ext uri="{FF2B5EF4-FFF2-40B4-BE49-F238E27FC236}">
                <a16:creationId xmlns:a16="http://schemas.microsoft.com/office/drawing/2014/main" id="{00000000-0008-0000-0200-00003B180000}"/>
              </a:ext>
            </a:extLst>
          </xdr:cNvPr>
          <xdr:cNvSpPr>
            <a:spLocks noChangeArrowheads="1"/>
          </xdr:cNvSpPr>
        </xdr:nvSpPr>
        <xdr:spPr bwMode="auto">
          <a:xfrm>
            <a:off x="705" y="335"/>
            <a:ext cx="47" cy="4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204" name="Line 8">
            <a:extLst>
              <a:ext uri="{FF2B5EF4-FFF2-40B4-BE49-F238E27FC236}">
                <a16:creationId xmlns:a16="http://schemas.microsoft.com/office/drawing/2014/main" id="{00000000-0008-0000-0200-00003C180000}"/>
              </a:ext>
            </a:extLst>
          </xdr:cNvPr>
          <xdr:cNvSpPr>
            <a:spLocks noChangeShapeType="1"/>
          </xdr:cNvSpPr>
        </xdr:nvSpPr>
        <xdr:spPr bwMode="auto">
          <a:xfrm flipV="1">
            <a:off x="731" y="281"/>
            <a:ext cx="25" cy="7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205" name="Line 9">
            <a:extLst>
              <a:ext uri="{FF2B5EF4-FFF2-40B4-BE49-F238E27FC236}">
                <a16:creationId xmlns:a16="http://schemas.microsoft.com/office/drawing/2014/main" id="{00000000-0008-0000-0200-00003D180000}"/>
              </a:ext>
            </a:extLst>
          </xdr:cNvPr>
          <xdr:cNvSpPr>
            <a:spLocks noChangeShapeType="1"/>
          </xdr:cNvSpPr>
        </xdr:nvSpPr>
        <xdr:spPr bwMode="auto">
          <a:xfrm flipH="1" flipV="1">
            <a:off x="711" y="340"/>
            <a:ext cx="19"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206" name="Line 10">
            <a:extLst>
              <a:ext uri="{FF2B5EF4-FFF2-40B4-BE49-F238E27FC236}">
                <a16:creationId xmlns:a16="http://schemas.microsoft.com/office/drawing/2014/main" id="{00000000-0008-0000-0200-00003E180000}"/>
              </a:ext>
            </a:extLst>
          </xdr:cNvPr>
          <xdr:cNvSpPr>
            <a:spLocks noChangeShapeType="1"/>
          </xdr:cNvSpPr>
        </xdr:nvSpPr>
        <xdr:spPr bwMode="auto">
          <a:xfrm flipV="1">
            <a:off x="732" y="305"/>
            <a:ext cx="81" cy="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12</xdr:col>
      <xdr:colOff>175260</xdr:colOff>
      <xdr:row>2</xdr:row>
      <xdr:rowOff>114300</xdr:rowOff>
    </xdr:from>
    <xdr:to>
      <xdr:col>15</xdr:col>
      <xdr:colOff>243840</xdr:colOff>
      <xdr:row>5</xdr:row>
      <xdr:rowOff>15240</xdr:rowOff>
    </xdr:to>
    <xdr:pic>
      <xdr:nvPicPr>
        <xdr:cNvPr id="16" name="Picture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42960" y="449580"/>
          <a:ext cx="1897380" cy="40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8654815" cy="6274741"/>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4815" cy="627474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4683902" cy="353823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4683902" cy="3538238"/>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6362700" cy="4808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6362700" cy="4808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R25:R57"/>
  <sheetViews>
    <sheetView tabSelected="1" topLeftCell="A24" zoomScale="68" zoomScaleNormal="68" workbookViewId="0">
      <selection activeCell="U20" sqref="U20"/>
    </sheetView>
  </sheetViews>
  <sheetFormatPr defaultRowHeight="13.2" x14ac:dyDescent="0.25"/>
  <sheetData>
    <row r="25" spans="18:18" x14ac:dyDescent="0.25">
      <c r="R25" t="s">
        <v>164</v>
      </c>
    </row>
    <row r="57" spans="18:18" x14ac:dyDescent="0.25">
      <c r="R57" s="17" t="s">
        <v>295</v>
      </c>
    </row>
  </sheetData>
  <phoneticPr fontId="2" type="noConversion"/>
  <pageMargins left="0.75" right="0.75" top="1" bottom="1" header="0.5" footer="0.5"/>
  <pageSetup orientation="portrait" horizontalDpi="300" verticalDpi="300" r:id="rId1"/>
  <headerFooter alignWithMargins="0"/>
  <drawing r:id="rId2"/>
  <legacyDrawing r:id="rId3"/>
  <oleObjects>
    <mc:AlternateContent xmlns:mc="http://schemas.openxmlformats.org/markup-compatibility/2006">
      <mc:Choice Requires="x14">
        <oleObject progId="Equation.3" shapeId="3074" r:id="rId4">
          <objectPr defaultSize="0" autoPict="0" r:id="rId5">
            <anchor moveWithCells="1">
              <from>
                <xdr:col>17</xdr:col>
                <xdr:colOff>7620</xdr:colOff>
                <xdr:row>25</xdr:row>
                <xdr:rowOff>76200</xdr:rowOff>
              </from>
              <to>
                <xdr:col>21</xdr:col>
                <xdr:colOff>7620</xdr:colOff>
                <xdr:row>32</xdr:row>
                <xdr:rowOff>30480</xdr:rowOff>
              </to>
            </anchor>
          </objectPr>
        </oleObject>
      </mc:Choice>
      <mc:Fallback>
        <oleObject progId="Equation.3" shapeId="3074" r:id="rId4"/>
      </mc:Fallback>
    </mc:AlternateContent>
    <mc:AlternateContent xmlns:mc="http://schemas.openxmlformats.org/markup-compatibility/2006">
      <mc:Choice Requires="x14">
        <oleObject progId="Equation.3" shapeId="3094" r:id="rId6">
          <objectPr defaultSize="0" autoPict="0" r:id="rId7">
            <anchor moveWithCells="1">
              <from>
                <xdr:col>17</xdr:col>
                <xdr:colOff>114300</xdr:colOff>
                <xdr:row>34</xdr:row>
                <xdr:rowOff>121920</xdr:rowOff>
              </from>
              <to>
                <xdr:col>20</xdr:col>
                <xdr:colOff>411480</xdr:colOff>
                <xdr:row>38</xdr:row>
                <xdr:rowOff>22860</xdr:rowOff>
              </to>
            </anchor>
          </objectPr>
        </oleObject>
      </mc:Choice>
      <mc:Fallback>
        <oleObject progId="Equation.3" shapeId="3094"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155"/>
  <sheetViews>
    <sheetView zoomScale="80" zoomScaleNormal="80" workbookViewId="0">
      <selection activeCell="J18" sqref="J18"/>
    </sheetView>
  </sheetViews>
  <sheetFormatPr defaultRowHeight="13.2" x14ac:dyDescent="0.25"/>
  <cols>
    <col min="1" max="1" width="4.33203125" customWidth="1"/>
    <col min="2" max="2" width="36.5546875" customWidth="1"/>
    <col min="3" max="3" width="14" customWidth="1"/>
    <col min="4" max="4" width="13.5546875" customWidth="1"/>
    <col min="5" max="5" width="15.5546875" customWidth="1"/>
    <col min="6" max="6" width="11.109375" bestFit="1" customWidth="1"/>
    <col min="7" max="7" width="10" bestFit="1" customWidth="1"/>
    <col min="8" max="8" width="9.6640625" customWidth="1"/>
    <col min="9" max="9" width="32.109375" customWidth="1"/>
    <col min="10" max="10" width="9.109375" customWidth="1"/>
    <col min="18" max="18" width="13.33203125" customWidth="1"/>
    <col min="29" max="29" width="15.6640625" customWidth="1"/>
    <col min="31" max="31" width="13.6640625" bestFit="1" customWidth="1"/>
  </cols>
  <sheetData>
    <row r="1" spans="2:7" x14ac:dyDescent="0.25">
      <c r="B1" t="s">
        <v>107</v>
      </c>
    </row>
    <row r="2" spans="2:7" x14ac:dyDescent="0.25">
      <c r="B2" t="s">
        <v>137</v>
      </c>
      <c r="C2" s="59" t="s">
        <v>245</v>
      </c>
      <c r="D2" s="57"/>
      <c r="E2" s="57"/>
    </row>
    <row r="3" spans="2:7" x14ac:dyDescent="0.25">
      <c r="C3" s="60" t="s">
        <v>226</v>
      </c>
      <c r="D3" s="61"/>
      <c r="E3" s="61"/>
    </row>
    <row r="4" spans="2:7" x14ac:dyDescent="0.25">
      <c r="C4" s="51" t="s">
        <v>244</v>
      </c>
      <c r="D4" s="50"/>
      <c r="E4" s="50"/>
    </row>
    <row r="6" spans="2:7" x14ac:dyDescent="0.25">
      <c r="C6" s="5" t="s">
        <v>212</v>
      </c>
      <c r="E6" s="5" t="s">
        <v>213</v>
      </c>
    </row>
    <row r="7" spans="2:7" x14ac:dyDescent="0.25">
      <c r="C7" s="5" t="s">
        <v>109</v>
      </c>
      <c r="D7" s="5" t="s">
        <v>110</v>
      </c>
      <c r="E7" s="5" t="s">
        <v>275</v>
      </c>
    </row>
    <row r="8" spans="2:7" x14ac:dyDescent="0.25">
      <c r="B8" t="s">
        <v>13</v>
      </c>
      <c r="C8" s="49" t="s">
        <v>14</v>
      </c>
      <c r="D8" s="49" t="s">
        <v>14</v>
      </c>
      <c r="E8" s="49" t="s">
        <v>223</v>
      </c>
      <c r="G8" t="s">
        <v>195</v>
      </c>
    </row>
    <row r="9" spans="2:7" x14ac:dyDescent="0.25">
      <c r="B9" t="s">
        <v>134</v>
      </c>
      <c r="C9" s="31">
        <f>1/C11</f>
        <v>59772863.120143451</v>
      </c>
      <c r="D9" s="31">
        <f>1/D11</f>
        <v>59772863.120143451</v>
      </c>
      <c r="E9" s="31">
        <f>1/E11</f>
        <v>1.0000000000000001E-18</v>
      </c>
      <c r="F9" t="s">
        <v>96</v>
      </c>
      <c r="G9" s="1" t="s">
        <v>196</v>
      </c>
    </row>
    <row r="10" spans="2:7" x14ac:dyDescent="0.25">
      <c r="B10" s="25" t="s">
        <v>246</v>
      </c>
      <c r="C10" s="64">
        <f>LOOKUP(C$8,$B$97:$B$128,$I$97:$I$128)</f>
        <v>4.0410000000000003E-3</v>
      </c>
      <c r="D10" s="64">
        <f>LOOKUP(D$8,$B$97:$B$128,$I$97:$I$128)</f>
        <v>4.0410000000000003E-3</v>
      </c>
      <c r="E10" s="64" t="s">
        <v>208</v>
      </c>
      <c r="F10" s="25" t="s">
        <v>258</v>
      </c>
      <c r="G10" s="1"/>
    </row>
    <row r="11" spans="2:7" x14ac:dyDescent="0.25">
      <c r="B11" t="s">
        <v>133</v>
      </c>
      <c r="C11" s="41">
        <f>LOOKUP(C$8,$B$97:$B$128,$F$97:$F$128)</f>
        <v>1.6730000000000002E-8</v>
      </c>
      <c r="D11" s="41">
        <f>LOOKUP(D$8,$B$97:$B$128,$F$97:$F$128)</f>
        <v>1.6730000000000002E-8</v>
      </c>
      <c r="E11" s="41">
        <f>LOOKUP(E$8,$B$135:$B$152,$E$135:$E$152)</f>
        <v>1E+18</v>
      </c>
      <c r="F11" t="s">
        <v>97</v>
      </c>
      <c r="G11" t="s">
        <v>225</v>
      </c>
    </row>
    <row r="12" spans="2:7" x14ac:dyDescent="0.25">
      <c r="B12" t="s">
        <v>133</v>
      </c>
      <c r="C12" s="1">
        <f>C11*100</f>
        <v>1.6730000000000001E-6</v>
      </c>
      <c r="D12" s="1">
        <f>D11*100</f>
        <v>1.6730000000000001E-6</v>
      </c>
      <c r="E12" s="1">
        <f>E11*100</f>
        <v>1E+20</v>
      </c>
      <c r="F12" t="s">
        <v>7</v>
      </c>
    </row>
    <row r="13" spans="2:7" x14ac:dyDescent="0.25">
      <c r="B13" t="s">
        <v>133</v>
      </c>
      <c r="C13" s="31">
        <f>C11*100000000</f>
        <v>1.6730000000000003</v>
      </c>
      <c r="D13" s="31">
        <f>D11*100000000</f>
        <v>1.6730000000000003</v>
      </c>
      <c r="E13" s="31">
        <f>E11*100000000</f>
        <v>1E+26</v>
      </c>
      <c r="F13" t="s">
        <v>131</v>
      </c>
    </row>
    <row r="14" spans="2:7" x14ac:dyDescent="0.25">
      <c r="B14" t="s">
        <v>132</v>
      </c>
      <c r="C14" s="42">
        <f>LOOKUP(C8,B97:B128,H97:H128)</f>
        <v>1</v>
      </c>
      <c r="D14" s="42">
        <f>LOOKUP(D8,B97:B128,H97:H128)</f>
        <v>1</v>
      </c>
      <c r="E14" s="33" t="s">
        <v>208</v>
      </c>
    </row>
    <row r="15" spans="2:7" x14ac:dyDescent="0.25">
      <c r="B15" s="34" t="s">
        <v>210</v>
      </c>
      <c r="C15" s="32" t="s">
        <v>208</v>
      </c>
      <c r="D15" s="32" t="s">
        <v>208</v>
      </c>
      <c r="E15" s="43">
        <f>LOOKUP(E$8,B$135:B$152,C$135:C$152)</f>
        <v>2.1</v>
      </c>
      <c r="G15" s="1"/>
    </row>
    <row r="16" spans="2:7" x14ac:dyDescent="0.25">
      <c r="B16" t="s">
        <v>209</v>
      </c>
      <c r="C16" s="32" t="s">
        <v>208</v>
      </c>
      <c r="D16" s="32" t="s">
        <v>208</v>
      </c>
      <c r="E16" s="41">
        <f>LOOKUP(E$8,B$135:B$152,D$135:D$152)</f>
        <v>2.9999999999999997E-4</v>
      </c>
      <c r="F16" s="1"/>
    </row>
    <row r="17" spans="2:7" x14ac:dyDescent="0.25">
      <c r="F17" s="1"/>
      <c r="G17" s="1"/>
    </row>
    <row r="20" spans="2:7" x14ac:dyDescent="0.25">
      <c r="C20" s="5" t="s">
        <v>211</v>
      </c>
    </row>
    <row r="21" spans="2:7" x14ac:dyDescent="0.25">
      <c r="B21" t="s">
        <v>185</v>
      </c>
      <c r="C21" s="49" t="s">
        <v>100</v>
      </c>
    </row>
    <row r="23" spans="2:7" x14ac:dyDescent="0.25">
      <c r="C23" s="5" t="s">
        <v>123</v>
      </c>
    </row>
    <row r="24" spans="2:7" x14ac:dyDescent="0.25">
      <c r="C24" s="5" t="s">
        <v>191</v>
      </c>
      <c r="D24" s="5" t="s">
        <v>192</v>
      </c>
    </row>
    <row r="25" spans="2:7" x14ac:dyDescent="0.25">
      <c r="B25" t="s">
        <v>186</v>
      </c>
      <c r="C25" s="58">
        <v>0.94</v>
      </c>
      <c r="D25" s="58">
        <v>0.28000000000000003</v>
      </c>
      <c r="E25" t="str">
        <f>C21</f>
        <v>mm</v>
      </c>
    </row>
    <row r="26" spans="2:7" x14ac:dyDescent="0.25">
      <c r="B26" t="s">
        <v>187</v>
      </c>
      <c r="C26" s="1">
        <f>IF($C$21="mm",C25/1000,C25*0.0254)</f>
        <v>9.3999999999999997E-4</v>
      </c>
      <c r="D26" s="1">
        <f>IF($C$21="mm",D25/1000,D25*0.0254)</f>
        <v>2.8000000000000003E-4</v>
      </c>
      <c r="E26" t="s">
        <v>3</v>
      </c>
    </row>
    <row r="27" spans="2:7" x14ac:dyDescent="0.25">
      <c r="B27" t="s">
        <v>184</v>
      </c>
      <c r="C27" s="58">
        <v>0</v>
      </c>
      <c r="D27" s="1" t="str">
        <f>C21</f>
        <v>mm</v>
      </c>
    </row>
    <row r="28" spans="2:7" x14ac:dyDescent="0.25">
      <c r="B28" t="s">
        <v>190</v>
      </c>
      <c r="C28" s="1">
        <f>IF($C$21="mm",C27/1000,C27*0.0254)</f>
        <v>0</v>
      </c>
      <c r="D28" s="1" t="s">
        <v>3</v>
      </c>
    </row>
    <row r="29" spans="2:7" x14ac:dyDescent="0.25">
      <c r="B29" t="s">
        <v>188</v>
      </c>
      <c r="C29" s="58">
        <v>0.125</v>
      </c>
      <c r="D29" t="str">
        <f>C21</f>
        <v>mm</v>
      </c>
    </row>
    <row r="30" spans="2:7" x14ac:dyDescent="0.25">
      <c r="B30" t="s">
        <v>189</v>
      </c>
      <c r="C30" s="1">
        <f>IF($C$21="mm",C29/1000,C29*0.0254)</f>
        <v>1.25E-4</v>
      </c>
      <c r="D30" t="s">
        <v>3</v>
      </c>
    </row>
    <row r="31" spans="2:7" x14ac:dyDescent="0.25">
      <c r="B31" t="s">
        <v>230</v>
      </c>
      <c r="C31" s="58">
        <v>0</v>
      </c>
      <c r="D31" s="58">
        <v>0</v>
      </c>
      <c r="E31" t="str">
        <f>C21</f>
        <v>mm</v>
      </c>
    </row>
    <row r="32" spans="2:7" x14ac:dyDescent="0.25">
      <c r="B32" t="s">
        <v>231</v>
      </c>
      <c r="C32" s="1">
        <f>IF($C$21="mm",C31/1000,C31*0.0254)</f>
        <v>0</v>
      </c>
      <c r="D32" s="1">
        <f>IF($C$21="mm",D31/1000,D31*0.0254)</f>
        <v>0</v>
      </c>
      <c r="E32" t="s">
        <v>3</v>
      </c>
    </row>
    <row r="33" spans="2:8" x14ac:dyDescent="0.25">
      <c r="D33" s="1"/>
    </row>
    <row r="34" spans="2:8" x14ac:dyDescent="0.25">
      <c r="C34" s="5" t="s">
        <v>191</v>
      </c>
      <c r="D34" s="5" t="s">
        <v>192</v>
      </c>
    </row>
    <row r="35" spans="2:8" x14ac:dyDescent="0.25">
      <c r="B35" t="s">
        <v>112</v>
      </c>
      <c r="C35" s="4">
        <f>PI()*C30*(C30+C26)</f>
        <v>4.1822452200914122E-7</v>
      </c>
      <c r="D35" s="4">
        <f>PI()*D26^2/4</f>
        <v>6.1575216010359951E-8</v>
      </c>
      <c r="E35" t="s">
        <v>117</v>
      </c>
      <c r="H35" s="1"/>
    </row>
    <row r="36" spans="2:8" x14ac:dyDescent="0.25">
      <c r="B36" t="s">
        <v>215</v>
      </c>
      <c r="C36" s="1">
        <f>C11/C35</f>
        <v>4.0002436776374224E-2</v>
      </c>
      <c r="D36" s="1">
        <f>D11/D35</f>
        <v>0.27170022427830703</v>
      </c>
      <c r="E36" t="s">
        <v>115</v>
      </c>
      <c r="H36" s="1"/>
    </row>
    <row r="37" spans="2:8" x14ac:dyDescent="0.25">
      <c r="C37" s="1"/>
      <c r="D37" s="1"/>
      <c r="H37" s="1"/>
    </row>
    <row r="38" spans="2:8" x14ac:dyDescent="0.25">
      <c r="B38" t="s">
        <v>118</v>
      </c>
      <c r="C38" s="1">
        <f>D26/2</f>
        <v>1.4000000000000001E-4</v>
      </c>
      <c r="D38" t="s">
        <v>3</v>
      </c>
    </row>
    <row r="39" spans="2:8" x14ac:dyDescent="0.25">
      <c r="B39" t="s">
        <v>119</v>
      </c>
      <c r="C39" s="1">
        <f>C26/2</f>
        <v>4.6999999999999999E-4</v>
      </c>
      <c r="D39" t="s">
        <v>3</v>
      </c>
    </row>
    <row r="40" spans="2:8" x14ac:dyDescent="0.25">
      <c r="B40" t="s">
        <v>120</v>
      </c>
      <c r="C40" s="1">
        <f>(C26/2+C30)</f>
        <v>5.9500000000000004E-4</v>
      </c>
      <c r="D40" t="s">
        <v>3</v>
      </c>
    </row>
    <row r="42" spans="2:8" x14ac:dyDescent="0.25">
      <c r="C42" s="5"/>
      <c r="E42" s="1"/>
    </row>
    <row r="43" spans="2:8" x14ac:dyDescent="0.25">
      <c r="C43" s="4"/>
      <c r="D43" s="1"/>
      <c r="E43" s="1"/>
    </row>
    <row r="44" spans="2:8" x14ac:dyDescent="0.25">
      <c r="C44" s="5" t="s">
        <v>116</v>
      </c>
      <c r="E44" s="1"/>
    </row>
    <row r="45" spans="2:8" x14ac:dyDescent="0.25">
      <c r="B45" t="s">
        <v>101</v>
      </c>
      <c r="C45" s="6">
        <f>C25/D25</f>
        <v>3.3571428571428568</v>
      </c>
      <c r="E45" s="1"/>
    </row>
    <row r="46" spans="2:8" x14ac:dyDescent="0.25">
      <c r="B46" t="s">
        <v>193</v>
      </c>
      <c r="C46" s="21">
        <f>60/E15^0.5*LN(C45)</f>
        <v>50.143901161630914</v>
      </c>
      <c r="D46" t="s">
        <v>5</v>
      </c>
      <c r="E46" s="6"/>
    </row>
    <row r="47" spans="2:8" x14ac:dyDescent="0.25">
      <c r="B47" t="s">
        <v>194</v>
      </c>
      <c r="C47" s="6">
        <f>(60/E15^0.5)*ACOSH(0.5*(C45+1/C45-4*C28^2/C26/D26))</f>
        <v>50.143901161630914</v>
      </c>
      <c r="D47" t="s">
        <v>5</v>
      </c>
      <c r="E47" s="1"/>
    </row>
    <row r="48" spans="2:8" x14ac:dyDescent="0.25">
      <c r="B48" t="s">
        <v>153</v>
      </c>
      <c r="C48" s="1">
        <f>Calcs!O13</f>
        <v>4.0002436776374224E-2</v>
      </c>
      <c r="D48" s="1" t="s">
        <v>115</v>
      </c>
      <c r="E48" s="1">
        <f>C48/3.28084</f>
        <v>1.2192742339271109E-2</v>
      </c>
      <c r="F48" s="1" t="s">
        <v>152</v>
      </c>
    </row>
    <row r="49" spans="2:34" x14ac:dyDescent="0.25">
      <c r="B49" s="25" t="s">
        <v>243</v>
      </c>
      <c r="C49" s="1">
        <f>Calcs!P13</f>
        <v>0.27170022427830703</v>
      </c>
      <c r="D49" s="1" t="s">
        <v>115</v>
      </c>
      <c r="E49" s="1">
        <f>C49/3.28084</f>
        <v>8.2814225709972766E-2</v>
      </c>
      <c r="F49" s="1" t="s">
        <v>152</v>
      </c>
    </row>
    <row r="50" spans="2:34" x14ac:dyDescent="0.25">
      <c r="B50" t="s">
        <v>216</v>
      </c>
      <c r="C50" s="6">
        <f>E50/(12*0.0254)</f>
        <v>96.331235539673941</v>
      </c>
      <c r="D50" t="s">
        <v>102</v>
      </c>
      <c r="E50" s="6">
        <f>7.354*E15/LOG(C45)</f>
        <v>29.361760592492612</v>
      </c>
      <c r="F50" t="s">
        <v>151</v>
      </c>
    </row>
    <row r="51" spans="2:34" x14ac:dyDescent="0.25">
      <c r="B51" t="s">
        <v>217</v>
      </c>
      <c r="C51" s="12">
        <f>E51/(12*0.0254)</f>
        <v>242.27743781151611</v>
      </c>
      <c r="D51" t="s">
        <v>103</v>
      </c>
      <c r="E51" s="12">
        <f>140.4*LOG(C45)</f>
        <v>73.846163044950103</v>
      </c>
      <c r="F51" t="s">
        <v>159</v>
      </c>
    </row>
    <row r="52" spans="2:34" x14ac:dyDescent="0.25">
      <c r="B52" t="s">
        <v>218</v>
      </c>
      <c r="C52" s="26">
        <f>C50/1000000000000/C85/E15/E11</f>
        <v>5.180827181013454E-18</v>
      </c>
      <c r="D52" s="1" t="s">
        <v>206</v>
      </c>
      <c r="E52" s="1">
        <f>C52/3.28084</f>
        <v>1.5791160742411864E-18</v>
      </c>
      <c r="F52" t="s">
        <v>204</v>
      </c>
    </row>
    <row r="53" spans="2:34" x14ac:dyDescent="0.25">
      <c r="B53" t="s">
        <v>203</v>
      </c>
      <c r="C53" s="26">
        <f>8.686*C52*C46/2</f>
        <v>1.1282544463332969E-15</v>
      </c>
      <c r="D53" s="1" t="s">
        <v>207</v>
      </c>
      <c r="E53" s="1">
        <f>C53/3.28084</f>
        <v>3.4389194423784667E-16</v>
      </c>
      <c r="F53" t="s">
        <v>147</v>
      </c>
    </row>
    <row r="54" spans="2:34" x14ac:dyDescent="0.25">
      <c r="B54" t="s">
        <v>219</v>
      </c>
      <c r="C54" s="1">
        <f>C86/E15^0.5</f>
        <v>206876450.21638921</v>
      </c>
      <c r="D54" s="1" t="s">
        <v>138</v>
      </c>
      <c r="E54" s="24">
        <f>1/E15^0.5</f>
        <v>0.69006555934235414</v>
      </c>
      <c r="F54" t="s">
        <v>205</v>
      </c>
      <c r="AC54" s="2"/>
      <c r="AE54" s="3"/>
      <c r="AF54" s="1"/>
      <c r="AG54" s="1"/>
      <c r="AH54" s="1"/>
    </row>
    <row r="55" spans="2:34" x14ac:dyDescent="0.25">
      <c r="B55" t="s">
        <v>139</v>
      </c>
      <c r="C55" s="6">
        <f>IF(C21="inches",7.514/(E15)^0.5/(C25+D25),190.85/(E15)^0.5/(C25+D25))</f>
        <v>107.95000983646582</v>
      </c>
      <c r="D55" s="1" t="s">
        <v>0</v>
      </c>
      <c r="E55" s="1"/>
    </row>
    <row r="56" spans="2:34" x14ac:dyDescent="0.25">
      <c r="C56" s="6"/>
      <c r="D56" s="1"/>
      <c r="E56" s="1"/>
    </row>
    <row r="57" spans="2:34" x14ac:dyDescent="0.25">
      <c r="C57" s="6"/>
      <c r="D57" s="1"/>
      <c r="E57" s="1"/>
    </row>
    <row r="58" spans="2:34" x14ac:dyDescent="0.25">
      <c r="C58" s="21" t="s">
        <v>284</v>
      </c>
      <c r="D58" s="1"/>
      <c r="E58" s="1"/>
      <c r="I58" s="55"/>
      <c r="J58" s="55"/>
      <c r="K58" s="55"/>
      <c r="L58" s="55"/>
    </row>
    <row r="59" spans="2:34" x14ac:dyDescent="0.25">
      <c r="C59" t="s">
        <v>141</v>
      </c>
      <c r="E59" s="1"/>
      <c r="I59" s="55"/>
      <c r="J59" s="55"/>
      <c r="K59" s="55"/>
      <c r="L59" s="55"/>
    </row>
    <row r="60" spans="2:34" x14ac:dyDescent="0.25">
      <c r="B60" t="s">
        <v>197</v>
      </c>
      <c r="C60" s="58">
        <v>26500000000</v>
      </c>
      <c r="D60" t="s">
        <v>125</v>
      </c>
      <c r="E60" s="1"/>
      <c r="I60" s="55"/>
      <c r="J60" s="55"/>
      <c r="K60" s="55"/>
      <c r="L60" s="55"/>
    </row>
    <row r="61" spans="2:34" x14ac:dyDescent="0.25">
      <c r="B61" s="17" t="s">
        <v>297</v>
      </c>
      <c r="C61" s="57">
        <v>25</v>
      </c>
      <c r="D61" s="17" t="s">
        <v>285</v>
      </c>
      <c r="E61" s="48" t="s">
        <v>241</v>
      </c>
      <c r="G61" s="25" t="s">
        <v>242</v>
      </c>
      <c r="I61" s="55"/>
      <c r="J61" s="55"/>
      <c r="K61" s="55"/>
      <c r="L61" s="55"/>
    </row>
    <row r="62" spans="2:34" x14ac:dyDescent="0.25">
      <c r="B62" t="s">
        <v>198</v>
      </c>
      <c r="C62" s="86">
        <v>1</v>
      </c>
      <c r="D62" s="52" t="s">
        <v>3</v>
      </c>
      <c r="E62" s="53">
        <f>IF($D$62="feet",C62*0.3048,IF($D$62="inches",C62*0.0254,IF($D$62="meters",C62, IF($D$62="mm",C62/1000,"Error"))))</f>
        <v>1</v>
      </c>
      <c r="F62" t="s">
        <v>3</v>
      </c>
      <c r="G62" s="56">
        <f>(E62/C69)*360</f>
        <v>46114.480357823828</v>
      </c>
      <c r="H62" t="s">
        <v>200</v>
      </c>
      <c r="I62" s="74" t="s">
        <v>240</v>
      </c>
      <c r="J62" s="75">
        <f>C62</f>
        <v>1</v>
      </c>
      <c r="K62" s="75" t="str">
        <f>D62</f>
        <v>meters</v>
      </c>
    </row>
    <row r="63" spans="2:34" x14ac:dyDescent="0.25">
      <c r="C63" s="53"/>
      <c r="D63" s="54"/>
      <c r="E63" s="53"/>
      <c r="F63" s="55"/>
      <c r="G63" s="56"/>
      <c r="H63" s="55"/>
      <c r="I63" s="88" t="s">
        <v>290</v>
      </c>
      <c r="J63" s="76">
        <f>C60/1000000000</f>
        <v>26.5</v>
      </c>
      <c r="K63" s="77" t="s">
        <v>0</v>
      </c>
      <c r="L63" s="84"/>
    </row>
    <row r="64" spans="2:34" x14ac:dyDescent="0.25">
      <c r="B64" s="17" t="s">
        <v>287</v>
      </c>
      <c r="C64" s="1">
        <f>Calcs!AK161</f>
        <v>1.225957465466605</v>
      </c>
      <c r="D64" s="1" t="s">
        <v>4</v>
      </c>
      <c r="E64" s="1">
        <f t="shared" ref="E64:E67" si="0">C64/3.28084</f>
        <v>0.37367182351672285</v>
      </c>
      <c r="F64" t="s">
        <v>147</v>
      </c>
      <c r="G64" s="1">
        <f t="shared" ref="G64:G67" si="1">E64/12</f>
        <v>3.1139318626393572E-2</v>
      </c>
      <c r="H64" t="s">
        <v>150</v>
      </c>
      <c r="I64" s="80" t="s">
        <v>282</v>
      </c>
      <c r="J64" s="81">
        <f>Calcs!M161</f>
        <v>1</v>
      </c>
      <c r="K64" s="82" t="s">
        <v>283</v>
      </c>
      <c r="L64" s="85"/>
    </row>
    <row r="65" spans="2:12" x14ac:dyDescent="0.25">
      <c r="B65" s="17" t="s">
        <v>288</v>
      </c>
      <c r="C65" s="1">
        <f>Calcs!AL161</f>
        <v>4.1310159404242643</v>
      </c>
      <c r="D65" s="1" t="s">
        <v>4</v>
      </c>
      <c r="E65" s="1">
        <f t="shared" si="0"/>
        <v>1.25913361834904</v>
      </c>
      <c r="F65" t="s">
        <v>147</v>
      </c>
      <c r="G65" s="1">
        <f t="shared" si="1"/>
        <v>0.10492780152908666</v>
      </c>
      <c r="H65" t="s">
        <v>150</v>
      </c>
      <c r="I65" s="80" t="s">
        <v>282</v>
      </c>
      <c r="J65" s="81">
        <f>Calcs!N161</f>
        <v>1</v>
      </c>
      <c r="K65" s="82" t="s">
        <v>283</v>
      </c>
      <c r="L65" s="85"/>
    </row>
    <row r="66" spans="2:12" x14ac:dyDescent="0.25">
      <c r="B66" t="s">
        <v>135</v>
      </c>
      <c r="C66" s="1">
        <f>Calcs!AA161</f>
        <v>1.049104428140492</v>
      </c>
      <c r="D66" s="1" t="s">
        <v>4</v>
      </c>
      <c r="E66" s="1">
        <f t="shared" si="0"/>
        <v>0.31976701946467734</v>
      </c>
      <c r="F66" t="s">
        <v>147</v>
      </c>
      <c r="G66" s="1">
        <f t="shared" si="1"/>
        <v>2.6647251622056445E-2</v>
      </c>
      <c r="H66" t="s">
        <v>150</v>
      </c>
      <c r="I66" s="88" t="s">
        <v>287</v>
      </c>
      <c r="J66" s="78">
        <f>C64*$E$62</f>
        <v>1.225957465466605</v>
      </c>
      <c r="K66" s="79" t="s">
        <v>199</v>
      </c>
      <c r="L66" s="87"/>
    </row>
    <row r="67" spans="2:12" x14ac:dyDescent="0.25">
      <c r="B67" t="s">
        <v>136</v>
      </c>
      <c r="C67" s="1">
        <f>Calcs!AE161</f>
        <v>1.1298253133715425E-15</v>
      </c>
      <c r="D67" s="1" t="s">
        <v>4</v>
      </c>
      <c r="E67" s="1">
        <f t="shared" si="0"/>
        <v>3.4437074449578232E-16</v>
      </c>
      <c r="F67" t="s">
        <v>147</v>
      </c>
      <c r="G67" s="1">
        <f t="shared" si="1"/>
        <v>2.8697562041315191E-17</v>
      </c>
      <c r="H67" t="s">
        <v>150</v>
      </c>
      <c r="I67" s="88" t="s">
        <v>288</v>
      </c>
      <c r="J67" s="78">
        <f>C65*$E$62</f>
        <v>4.1310159404242643</v>
      </c>
      <c r="K67" s="79" t="s">
        <v>199</v>
      </c>
      <c r="L67" s="87"/>
    </row>
    <row r="68" spans="2:12" x14ac:dyDescent="0.25">
      <c r="B68" s="5" t="s">
        <v>228</v>
      </c>
      <c r="C68" s="1">
        <f>SUM(C64:C67)</f>
        <v>6.406077834031362</v>
      </c>
      <c r="D68" s="1" t="s">
        <v>4</v>
      </c>
      <c r="E68" s="1">
        <f>SUM(E64:E67)</f>
        <v>1.9525724613304407</v>
      </c>
      <c r="F68" t="s">
        <v>147</v>
      </c>
      <c r="G68" s="1">
        <f>SUM(G64:G67)</f>
        <v>0.1627143717775367</v>
      </c>
      <c r="H68" t="s">
        <v>150</v>
      </c>
      <c r="I68" s="8" t="str">
        <f>B66</f>
        <v>Loss tangent loss</v>
      </c>
      <c r="J68" s="78">
        <f>C66*$E$62</f>
        <v>1.049104428140492</v>
      </c>
      <c r="K68" s="79" t="s">
        <v>199</v>
      </c>
      <c r="L68" s="85"/>
    </row>
    <row r="69" spans="2:12" x14ac:dyDescent="0.25">
      <c r="B69" t="s">
        <v>142</v>
      </c>
      <c r="C69" s="1">
        <f>C86/C60/E15^0.5</f>
        <v>7.806658498731669E-3</v>
      </c>
      <c r="D69" s="1" t="s">
        <v>145</v>
      </c>
      <c r="E69" s="1">
        <f>C69*3.28084</f>
        <v>2.5612397468978809E-2</v>
      </c>
      <c r="F69" t="s">
        <v>146</v>
      </c>
      <c r="G69" s="1">
        <f>E69*12</f>
        <v>0.30734876962774571</v>
      </c>
      <c r="H69" t="s">
        <v>16</v>
      </c>
      <c r="I69" s="8" t="str">
        <f>B67</f>
        <v>Dielectric conductivity loss</v>
      </c>
      <c r="J69" s="78">
        <f>C67*$E$62</f>
        <v>1.1298253133715425E-15</v>
      </c>
      <c r="K69" s="79" t="s">
        <v>199</v>
      </c>
      <c r="L69" s="85"/>
    </row>
    <row r="70" spans="2:12" x14ac:dyDescent="0.25">
      <c r="B70" t="s">
        <v>143</v>
      </c>
      <c r="C70" s="1">
        <f>C69/2</f>
        <v>3.9033292493658345E-3</v>
      </c>
      <c r="D70" s="1" t="s">
        <v>145</v>
      </c>
      <c r="E70" s="1">
        <f>C70*3.28084</f>
        <v>1.2806198734489405E-2</v>
      </c>
      <c r="F70" t="s">
        <v>146</v>
      </c>
      <c r="G70" s="1">
        <f>E70*12</f>
        <v>0.15367438481387286</v>
      </c>
      <c r="H70" t="s">
        <v>16</v>
      </c>
      <c r="I70" s="8" t="str">
        <f>B68</f>
        <v>Composite loss</v>
      </c>
      <c r="J70" s="78">
        <f>C68*$E$62</f>
        <v>6.406077834031362</v>
      </c>
      <c r="K70" s="83" t="s">
        <v>199</v>
      </c>
      <c r="L70" s="85"/>
    </row>
    <row r="71" spans="2:12" x14ac:dyDescent="0.25">
      <c r="B71" t="s">
        <v>144</v>
      </c>
      <c r="C71" s="1">
        <f>C70/2</f>
        <v>1.9516646246829172E-3</v>
      </c>
      <c r="D71" s="1" t="s">
        <v>145</v>
      </c>
      <c r="E71" s="1">
        <f>C71*3.28084</f>
        <v>6.4030993672447023E-3</v>
      </c>
      <c r="F71" t="s">
        <v>146</v>
      </c>
      <c r="G71" s="1">
        <f>E71*12</f>
        <v>7.6837192406936428E-2</v>
      </c>
      <c r="H71" t="s">
        <v>16</v>
      </c>
      <c r="I71" s="55"/>
      <c r="J71" s="55"/>
      <c r="K71" s="55"/>
      <c r="L71" s="55"/>
    </row>
    <row r="72" spans="2:12" x14ac:dyDescent="0.25">
      <c r="C72" s="1"/>
      <c r="D72" s="1"/>
      <c r="F72" s="1"/>
      <c r="I72" s="55"/>
      <c r="J72" s="55"/>
      <c r="K72" s="55"/>
      <c r="L72" s="55"/>
    </row>
    <row r="73" spans="2:12" x14ac:dyDescent="0.25">
      <c r="C73" s="1"/>
      <c r="D73" s="1"/>
      <c r="F73" s="1"/>
      <c r="I73" s="55"/>
      <c r="J73" s="55"/>
      <c r="K73" s="55"/>
      <c r="L73" s="55"/>
    </row>
    <row r="74" spans="2:12" x14ac:dyDescent="0.25">
      <c r="C74" s="5" t="s">
        <v>160</v>
      </c>
      <c r="I74" s="55"/>
      <c r="J74" s="55"/>
      <c r="K74" s="55"/>
      <c r="L74" s="55"/>
    </row>
    <row r="75" spans="2:12" x14ac:dyDescent="0.25">
      <c r="B75" t="s">
        <v>23</v>
      </c>
      <c r="C75" s="57">
        <v>1</v>
      </c>
      <c r="D75" s="1" t="s">
        <v>125</v>
      </c>
      <c r="E75" t="s">
        <v>202</v>
      </c>
    </row>
    <row r="76" spans="2:12" x14ac:dyDescent="0.25">
      <c r="B76" t="s">
        <v>22</v>
      </c>
      <c r="C76" s="58">
        <f>C55*1000000000</f>
        <v>107950009836.46582</v>
      </c>
      <c r="D76" s="1" t="s">
        <v>125</v>
      </c>
      <c r="E76" t="s">
        <v>201</v>
      </c>
    </row>
    <row r="77" spans="2:12" x14ac:dyDescent="0.25">
      <c r="B77" t="s">
        <v>165</v>
      </c>
      <c r="C77" s="20">
        <f>(C76/C75)^(1/143)</f>
        <v>1.194415425143333</v>
      </c>
      <c r="E77" s="17" t="s">
        <v>292</v>
      </c>
    </row>
    <row r="78" spans="2:12" x14ac:dyDescent="0.25">
      <c r="C78" s="20"/>
    </row>
    <row r="79" spans="2:12" x14ac:dyDescent="0.25">
      <c r="B79" s="5" t="s">
        <v>263</v>
      </c>
      <c r="C79" s="44"/>
      <c r="D79" s="45"/>
      <c r="E79" s="5"/>
    </row>
    <row r="80" spans="2:12" x14ac:dyDescent="0.25">
      <c r="B80" s="25" t="s">
        <v>264</v>
      </c>
      <c r="C80" s="86">
        <v>-54</v>
      </c>
      <c r="D80" s="25" t="s">
        <v>267</v>
      </c>
    </row>
    <row r="81" spans="2:20" x14ac:dyDescent="0.25">
      <c r="B81" s="25" t="s">
        <v>265</v>
      </c>
      <c r="C81" s="86">
        <v>25</v>
      </c>
      <c r="D81" s="25" t="s">
        <v>267</v>
      </c>
    </row>
    <row r="82" spans="2:20" x14ac:dyDescent="0.25">
      <c r="B82" s="25" t="s">
        <v>266</v>
      </c>
      <c r="C82" s="57">
        <v>85</v>
      </c>
      <c r="D82" s="25" t="s">
        <v>267</v>
      </c>
    </row>
    <row r="83" spans="2:20" x14ac:dyDescent="0.25">
      <c r="C83" s="5" t="s">
        <v>105</v>
      </c>
    </row>
    <row r="84" spans="2:20" x14ac:dyDescent="0.25">
      <c r="B84" t="s">
        <v>156</v>
      </c>
      <c r="C84" s="26">
        <f>4*PI()*0.0000001</f>
        <v>1.2566370614359173E-6</v>
      </c>
      <c r="D84" t="s">
        <v>154</v>
      </c>
    </row>
    <row r="85" spans="2:20" x14ac:dyDescent="0.25">
      <c r="B85" s="25" t="s">
        <v>158</v>
      </c>
      <c r="C85" s="27">
        <v>8.8541878200000004E-12</v>
      </c>
      <c r="D85" t="s">
        <v>157</v>
      </c>
    </row>
    <row r="86" spans="2:20" x14ac:dyDescent="0.25">
      <c r="B86" t="s">
        <v>155</v>
      </c>
      <c r="C86" s="90">
        <v>299792458</v>
      </c>
      <c r="D86" t="s">
        <v>138</v>
      </c>
    </row>
    <row r="87" spans="2:20" x14ac:dyDescent="0.25">
      <c r="B87" t="s">
        <v>149</v>
      </c>
      <c r="C87">
        <f>100/2.54/12</f>
        <v>3.2808398950131235</v>
      </c>
    </row>
    <row r="90" spans="2:20" x14ac:dyDescent="0.25">
      <c r="R90" t="s">
        <v>255</v>
      </c>
    </row>
    <row r="91" spans="2:20" x14ac:dyDescent="0.25">
      <c r="R91" t="s">
        <v>256</v>
      </c>
    </row>
    <row r="92" spans="2:20" x14ac:dyDescent="0.25">
      <c r="R92" s="25" t="s">
        <v>13</v>
      </c>
      <c r="T92" s="25" t="s">
        <v>259</v>
      </c>
    </row>
    <row r="93" spans="2:20" x14ac:dyDescent="0.25">
      <c r="B93" s="38" t="s">
        <v>227</v>
      </c>
      <c r="C93" s="38"/>
      <c r="D93" s="38"/>
      <c r="R93" s="62" t="s">
        <v>56</v>
      </c>
      <c r="S93" s="62" t="s">
        <v>247</v>
      </c>
      <c r="T93" s="62">
        <v>5.8659999999999997E-3</v>
      </c>
    </row>
    <row r="94" spans="2:20" x14ac:dyDescent="0.25">
      <c r="B94" t="s">
        <v>111</v>
      </c>
      <c r="R94" s="62" t="s">
        <v>47</v>
      </c>
      <c r="S94" s="62" t="s">
        <v>247</v>
      </c>
      <c r="T94" s="62">
        <v>5.6709999999999998E-3</v>
      </c>
    </row>
    <row r="95" spans="2:20" ht="13.2" customHeight="1" x14ac:dyDescent="0.25">
      <c r="B95" s="7"/>
      <c r="C95" s="8"/>
      <c r="D95" s="8" t="s">
        <v>24</v>
      </c>
      <c r="E95" s="8"/>
      <c r="F95" s="8"/>
      <c r="G95" s="8" t="s">
        <v>26</v>
      </c>
      <c r="H95" s="8" t="s">
        <v>12</v>
      </c>
      <c r="I95" s="63" t="s">
        <v>246</v>
      </c>
      <c r="J95" s="70" t="s">
        <v>278</v>
      </c>
      <c r="R95" s="62" t="s">
        <v>248</v>
      </c>
      <c r="S95" s="62" t="s">
        <v>247</v>
      </c>
      <c r="T95" s="62">
        <v>4.5789999999999997E-3</v>
      </c>
    </row>
    <row r="96" spans="2:20" ht="13.2" customHeight="1" x14ac:dyDescent="0.25">
      <c r="B96" s="7" t="s">
        <v>13</v>
      </c>
      <c r="C96" s="8" t="s">
        <v>27</v>
      </c>
      <c r="D96" s="8" t="s">
        <v>25</v>
      </c>
      <c r="E96" s="8" t="s">
        <v>7</v>
      </c>
      <c r="F96" s="8" t="s">
        <v>8</v>
      </c>
      <c r="G96" s="8" t="s">
        <v>9</v>
      </c>
      <c r="H96" s="8"/>
      <c r="I96" s="71"/>
      <c r="L96" s="37" t="s">
        <v>113</v>
      </c>
      <c r="M96" s="37"/>
      <c r="R96" s="62" t="s">
        <v>84</v>
      </c>
      <c r="S96" s="62" t="s">
        <v>247</v>
      </c>
      <c r="T96" s="62">
        <v>4.4029999999999998E-3</v>
      </c>
    </row>
    <row r="97" spans="2:20" ht="13.2" customHeight="1" x14ac:dyDescent="0.25">
      <c r="B97" s="35" t="s">
        <v>161</v>
      </c>
      <c r="C97" s="36" t="s">
        <v>229</v>
      </c>
      <c r="D97" s="39">
        <v>195</v>
      </c>
      <c r="E97" s="9">
        <f t="shared" ref="E97:E105" si="2">D97/1000000</f>
        <v>1.95E-4</v>
      </c>
      <c r="F97" s="9">
        <f t="shared" ref="F97:F105" si="3">E97/100</f>
        <v>1.95E-6</v>
      </c>
      <c r="G97" s="9">
        <f t="shared" ref="G97:G105" si="4">1/F97</f>
        <v>512820.51282051281</v>
      </c>
      <c r="H97" s="23">
        <v>1</v>
      </c>
      <c r="I97" s="72" t="s">
        <v>257</v>
      </c>
      <c r="L97" s="37" t="s">
        <v>16</v>
      </c>
      <c r="M97" s="37"/>
      <c r="R97" s="62" t="s">
        <v>15</v>
      </c>
      <c r="S97" s="62" t="s">
        <v>247</v>
      </c>
      <c r="T97" s="62">
        <v>4.3080000000000002E-3</v>
      </c>
    </row>
    <row r="98" spans="2:20" ht="13.2" customHeight="1" x14ac:dyDescent="0.25">
      <c r="B98" s="35" t="s">
        <v>162</v>
      </c>
      <c r="C98" s="36"/>
      <c r="D98" s="39">
        <v>1</v>
      </c>
      <c r="E98" s="9">
        <f t="shared" si="2"/>
        <v>9.9999999999999995E-7</v>
      </c>
      <c r="F98" s="9">
        <f t="shared" si="3"/>
        <v>1E-8</v>
      </c>
      <c r="G98" s="9">
        <f t="shared" si="4"/>
        <v>100000000</v>
      </c>
      <c r="H98" s="23">
        <v>1</v>
      </c>
      <c r="I98" s="72" t="s">
        <v>257</v>
      </c>
      <c r="L98" s="40" t="s">
        <v>100</v>
      </c>
      <c r="M98" s="37"/>
      <c r="R98" s="62" t="s">
        <v>14</v>
      </c>
      <c r="S98" s="62" t="s">
        <v>247</v>
      </c>
      <c r="T98" s="62">
        <v>4.0410000000000003E-3</v>
      </c>
    </row>
    <row r="99" spans="2:20" ht="13.2" customHeight="1" x14ac:dyDescent="0.25">
      <c r="B99" s="35" t="s">
        <v>163</v>
      </c>
      <c r="C99" s="36"/>
      <c r="D99" s="39">
        <v>1</v>
      </c>
      <c r="E99" s="9">
        <f t="shared" si="2"/>
        <v>9.9999999999999995E-7</v>
      </c>
      <c r="F99" s="9">
        <f t="shared" si="3"/>
        <v>1E-8</v>
      </c>
      <c r="G99" s="9">
        <f t="shared" si="4"/>
        <v>100000000</v>
      </c>
      <c r="H99" s="23">
        <v>1</v>
      </c>
      <c r="I99" s="72" t="s">
        <v>257</v>
      </c>
      <c r="L99" s="40"/>
      <c r="M99" s="37"/>
      <c r="R99" s="62" t="s">
        <v>70</v>
      </c>
      <c r="S99" s="62" t="s">
        <v>247</v>
      </c>
      <c r="T99" s="62">
        <v>3.8189999999999999E-3</v>
      </c>
    </row>
    <row r="100" spans="2:20" ht="13.2" customHeight="1" x14ac:dyDescent="0.25">
      <c r="B100" s="7" t="s">
        <v>15</v>
      </c>
      <c r="C100" s="10" t="s">
        <v>28</v>
      </c>
      <c r="D100" s="68" t="s">
        <v>29</v>
      </c>
      <c r="E100" s="9">
        <f t="shared" si="2"/>
        <v>2.65E-6</v>
      </c>
      <c r="F100" s="9">
        <f t="shared" si="3"/>
        <v>2.6499999999999999E-8</v>
      </c>
      <c r="G100" s="9">
        <f t="shared" si="4"/>
        <v>37735849.056603774</v>
      </c>
      <c r="H100" s="23">
        <v>1</v>
      </c>
      <c r="I100" s="73">
        <v>4.3080000000000002E-3</v>
      </c>
      <c r="L100" s="40"/>
      <c r="M100" s="37"/>
      <c r="R100" s="62" t="s">
        <v>65</v>
      </c>
      <c r="S100" s="62" t="s">
        <v>247</v>
      </c>
      <c r="T100" s="62">
        <v>3.7290000000000001E-3</v>
      </c>
    </row>
    <row r="101" spans="2:20" ht="13.2" customHeight="1" x14ac:dyDescent="0.25">
      <c r="B101" s="7" t="s">
        <v>167</v>
      </c>
      <c r="C101" s="10"/>
      <c r="D101" s="69">
        <f>E101*1000000</f>
        <v>6.666666666666667</v>
      </c>
      <c r="E101" s="9">
        <f>F101*100</f>
        <v>6.6666666666666666E-6</v>
      </c>
      <c r="F101" s="9">
        <f>1/G101</f>
        <v>6.6666666666666668E-8</v>
      </c>
      <c r="G101" s="9">
        <v>15000000</v>
      </c>
      <c r="H101" s="23">
        <v>1</v>
      </c>
      <c r="I101" s="72" t="s">
        <v>257</v>
      </c>
      <c r="R101" s="62" t="s">
        <v>38</v>
      </c>
      <c r="S101" s="62" t="s">
        <v>247</v>
      </c>
      <c r="T101" s="62">
        <v>3.715E-3</v>
      </c>
    </row>
    <row r="102" spans="2:20" ht="13.2" customHeight="1" x14ac:dyDescent="0.25">
      <c r="B102" s="7" t="s">
        <v>168</v>
      </c>
      <c r="C102" s="10"/>
      <c r="D102" s="69">
        <f>E102*1000000</f>
        <v>10</v>
      </c>
      <c r="E102" s="9">
        <f>F102*100</f>
        <v>9.9999999999999991E-6</v>
      </c>
      <c r="F102" s="9">
        <f>1/G102</f>
        <v>9.9999999999999995E-8</v>
      </c>
      <c r="G102" s="9">
        <v>10000000</v>
      </c>
      <c r="H102" s="23">
        <v>1</v>
      </c>
      <c r="I102" s="72" t="s">
        <v>257</v>
      </c>
      <c r="R102" s="62" t="s">
        <v>87</v>
      </c>
      <c r="S102" s="62" t="s">
        <v>247</v>
      </c>
      <c r="T102" s="62">
        <v>3.8470000000000002E-3</v>
      </c>
    </row>
    <row r="103" spans="2:20" ht="13.2" customHeight="1" x14ac:dyDescent="0.25">
      <c r="B103" s="11" t="s">
        <v>30</v>
      </c>
      <c r="C103" s="10" t="s">
        <v>31</v>
      </c>
      <c r="D103" s="68" t="s">
        <v>32</v>
      </c>
      <c r="E103" s="9">
        <f t="shared" si="2"/>
        <v>3.0000000000000001E-3</v>
      </c>
      <c r="F103" s="9">
        <f t="shared" si="3"/>
        <v>3.0000000000000001E-5</v>
      </c>
      <c r="G103" s="9">
        <f t="shared" si="4"/>
        <v>33333.333333333336</v>
      </c>
      <c r="H103" s="23">
        <v>1</v>
      </c>
      <c r="I103" s="72" t="s">
        <v>257</v>
      </c>
      <c r="L103" s="37" t="s">
        <v>113</v>
      </c>
      <c r="M103" s="37"/>
      <c r="R103" s="62" t="s">
        <v>249</v>
      </c>
      <c r="S103" s="62" t="s">
        <v>250</v>
      </c>
      <c r="T103" s="62">
        <v>3.0000000000000001E-3</v>
      </c>
    </row>
    <row r="104" spans="2:20" ht="13.2" customHeight="1" x14ac:dyDescent="0.25">
      <c r="B104" s="7" t="s">
        <v>33</v>
      </c>
      <c r="C104" s="10" t="s">
        <v>34</v>
      </c>
      <c r="D104" s="68" t="s">
        <v>35</v>
      </c>
      <c r="E104" s="9">
        <f t="shared" si="2"/>
        <v>1.8E-5</v>
      </c>
      <c r="F104" s="9">
        <f t="shared" si="3"/>
        <v>1.8E-7</v>
      </c>
      <c r="G104" s="9">
        <f t="shared" si="4"/>
        <v>5555555.555555556</v>
      </c>
      <c r="H104" s="23">
        <v>1</v>
      </c>
      <c r="I104" s="72" t="s">
        <v>257</v>
      </c>
      <c r="L104" s="47" t="s">
        <v>146</v>
      </c>
      <c r="M104" s="37"/>
      <c r="R104" s="62" t="s">
        <v>59</v>
      </c>
      <c r="S104" s="62" t="s">
        <v>250</v>
      </c>
      <c r="T104" s="62">
        <v>1.7000000000000001E-4</v>
      </c>
    </row>
    <row r="105" spans="2:20" ht="13.2" customHeight="1" x14ac:dyDescent="0.25">
      <c r="B105" s="7" t="s">
        <v>14</v>
      </c>
      <c r="C105" s="10" t="s">
        <v>36</v>
      </c>
      <c r="D105" s="68" t="s">
        <v>37</v>
      </c>
      <c r="E105" s="9">
        <f t="shared" si="2"/>
        <v>1.6730000000000001E-6</v>
      </c>
      <c r="F105" s="9">
        <f t="shared" si="3"/>
        <v>1.6730000000000002E-8</v>
      </c>
      <c r="G105" s="9">
        <f t="shared" si="4"/>
        <v>59772863.120143451</v>
      </c>
      <c r="H105" s="23">
        <v>1</v>
      </c>
      <c r="I105" s="72">
        <v>4.0410000000000003E-3</v>
      </c>
      <c r="L105" s="40" t="s">
        <v>16</v>
      </c>
      <c r="M105" s="37"/>
      <c r="R105" s="62" t="s">
        <v>251</v>
      </c>
      <c r="S105" s="62" t="s">
        <v>250</v>
      </c>
      <c r="T105" s="62">
        <v>1.2999999999999999E-4</v>
      </c>
    </row>
    <row r="106" spans="2:20" ht="13.2" customHeight="1" x14ac:dyDescent="0.25">
      <c r="B106" s="7" t="s">
        <v>38</v>
      </c>
      <c r="C106" s="10" t="s">
        <v>39</v>
      </c>
      <c r="D106" s="68" t="s">
        <v>40</v>
      </c>
      <c r="E106" s="9">
        <f t="shared" ref="E106:E128" si="5">D106/1000000</f>
        <v>2.4399999999999999E-6</v>
      </c>
      <c r="F106" s="9">
        <f t="shared" ref="F106:F128" si="6">E106/100</f>
        <v>2.44E-8</v>
      </c>
      <c r="G106" s="9">
        <f t="shared" ref="G106:G128" si="7">1/F106</f>
        <v>40983606.557377048</v>
      </c>
      <c r="H106" s="23">
        <v>1</v>
      </c>
      <c r="I106" s="72">
        <v>3.715E-3</v>
      </c>
      <c r="L106" s="40" t="s">
        <v>3</v>
      </c>
      <c r="M106" s="37"/>
      <c r="R106" s="62" t="s">
        <v>252</v>
      </c>
      <c r="S106" s="62" t="s">
        <v>250</v>
      </c>
      <c r="T106" s="62" t="s">
        <v>253</v>
      </c>
    </row>
    <row r="107" spans="2:20" ht="13.2" customHeight="1" x14ac:dyDescent="0.25">
      <c r="B107" s="7" t="s">
        <v>41</v>
      </c>
      <c r="C107" s="10" t="s">
        <v>42</v>
      </c>
      <c r="D107" s="68" t="s">
        <v>43</v>
      </c>
      <c r="E107" s="9">
        <f t="shared" si="5"/>
        <v>1.552E-5</v>
      </c>
      <c r="F107" s="9">
        <f t="shared" si="6"/>
        <v>1.5520000000000001E-7</v>
      </c>
      <c r="G107" s="9">
        <f t="shared" si="7"/>
        <v>6443298.969072164</v>
      </c>
      <c r="H107" s="23">
        <v>1</v>
      </c>
      <c r="I107" s="72" t="s">
        <v>257</v>
      </c>
      <c r="L107" s="40" t="s">
        <v>100</v>
      </c>
      <c r="M107" s="37"/>
      <c r="R107" s="62" t="s">
        <v>254</v>
      </c>
      <c r="S107" s="62" t="s">
        <v>250</v>
      </c>
      <c r="T107" s="62">
        <v>-7.3999999999999996E-5</v>
      </c>
    </row>
    <row r="108" spans="2:20" ht="13.2" customHeight="1" x14ac:dyDescent="0.25">
      <c r="B108" s="7" t="s">
        <v>44</v>
      </c>
      <c r="C108" s="10" t="s">
        <v>45</v>
      </c>
      <c r="D108" s="68" t="s">
        <v>46</v>
      </c>
      <c r="E108" s="9">
        <f t="shared" si="5"/>
        <v>5.3000000000000001E-6</v>
      </c>
      <c r="F108" s="9">
        <f t="shared" si="6"/>
        <v>5.2999999999999998E-8</v>
      </c>
      <c r="G108" s="9">
        <f t="shared" si="7"/>
        <v>18867924.528301887</v>
      </c>
      <c r="H108" s="23">
        <v>1</v>
      </c>
      <c r="I108" s="72" t="s">
        <v>257</v>
      </c>
    </row>
    <row r="109" spans="2:20" ht="13.2" customHeight="1" x14ac:dyDescent="0.25">
      <c r="B109" s="7" t="s">
        <v>47</v>
      </c>
      <c r="C109" s="10" t="s">
        <v>48</v>
      </c>
      <c r="D109" s="68" t="s">
        <v>49</v>
      </c>
      <c r="E109" s="9">
        <f t="shared" si="5"/>
        <v>9.6600000000000007E-6</v>
      </c>
      <c r="F109" s="9">
        <f t="shared" si="6"/>
        <v>9.6600000000000005E-8</v>
      </c>
      <c r="G109" s="9">
        <f t="shared" si="7"/>
        <v>10351966.873706004</v>
      </c>
      <c r="H109" s="8">
        <v>4000</v>
      </c>
      <c r="I109" s="72">
        <v>5.6709999999999998E-3</v>
      </c>
    </row>
    <row r="110" spans="2:20" ht="13.2" customHeight="1" x14ac:dyDescent="0.25">
      <c r="B110" s="7" t="s">
        <v>50</v>
      </c>
      <c r="C110" s="10" t="s">
        <v>51</v>
      </c>
      <c r="D110" s="68" t="s">
        <v>52</v>
      </c>
      <c r="E110" s="9">
        <f t="shared" si="5"/>
        <v>2.0649999999999997E-5</v>
      </c>
      <c r="F110" s="9">
        <f t="shared" si="6"/>
        <v>2.0649999999999998E-7</v>
      </c>
      <c r="G110" s="9">
        <f t="shared" si="7"/>
        <v>4842615.0121065378</v>
      </c>
      <c r="H110" s="8">
        <v>1</v>
      </c>
      <c r="I110" s="72" t="s">
        <v>257</v>
      </c>
    </row>
    <row r="111" spans="2:20" ht="13.2" customHeight="1" x14ac:dyDescent="0.25">
      <c r="B111" s="11" t="s">
        <v>53</v>
      </c>
      <c r="C111" s="10" t="s">
        <v>54</v>
      </c>
      <c r="D111" s="68" t="s">
        <v>55</v>
      </c>
      <c r="E111" s="9">
        <f t="shared" si="5"/>
        <v>4.2000000000000004E-6</v>
      </c>
      <c r="F111" s="9">
        <f t="shared" si="6"/>
        <v>4.2000000000000006E-8</v>
      </c>
      <c r="G111" s="9">
        <f t="shared" si="7"/>
        <v>23809523.809523806</v>
      </c>
      <c r="H111" s="8">
        <v>1</v>
      </c>
      <c r="I111" s="72" t="s">
        <v>257</v>
      </c>
    </row>
    <row r="112" spans="2:20" ht="13.2" customHeight="1" x14ac:dyDescent="0.25">
      <c r="B112" s="7" t="s">
        <v>56</v>
      </c>
      <c r="C112" s="10" t="s">
        <v>57</v>
      </c>
      <c r="D112" s="68" t="s">
        <v>58</v>
      </c>
      <c r="E112" s="9">
        <f t="shared" si="5"/>
        <v>8.7070000000000015E-6</v>
      </c>
      <c r="F112" s="9">
        <f t="shared" si="6"/>
        <v>8.7070000000000011E-8</v>
      </c>
      <c r="G112" s="9">
        <f t="shared" si="7"/>
        <v>11485012.059262661</v>
      </c>
      <c r="H112" s="8">
        <v>150</v>
      </c>
      <c r="I112" s="72">
        <v>5.8659999999999997E-3</v>
      </c>
    </row>
    <row r="113" spans="2:10" ht="13.2" customHeight="1" x14ac:dyDescent="0.25">
      <c r="B113" s="11" t="s">
        <v>59</v>
      </c>
      <c r="C113" s="10" t="s">
        <v>60</v>
      </c>
      <c r="D113" s="68" t="s">
        <v>61</v>
      </c>
      <c r="E113" s="9">
        <f t="shared" si="5"/>
        <v>1.1E-4</v>
      </c>
      <c r="F113" s="9">
        <f t="shared" si="6"/>
        <v>1.1000000000000001E-6</v>
      </c>
      <c r="G113" s="9">
        <f t="shared" si="7"/>
        <v>909090.90909090906</v>
      </c>
      <c r="H113" s="8">
        <v>1</v>
      </c>
      <c r="I113" s="72">
        <v>1.7000000000000001E-4</v>
      </c>
    </row>
    <row r="114" spans="2:10" ht="13.2" customHeight="1" x14ac:dyDescent="0.25">
      <c r="B114" s="7" t="s">
        <v>62</v>
      </c>
      <c r="C114" s="10" t="s">
        <v>63</v>
      </c>
      <c r="D114" s="68" t="s">
        <v>64</v>
      </c>
      <c r="E114" s="9">
        <f t="shared" si="5"/>
        <v>1.062E-5</v>
      </c>
      <c r="F114" s="9">
        <f t="shared" si="6"/>
        <v>1.062E-7</v>
      </c>
      <c r="G114" s="9">
        <f t="shared" si="7"/>
        <v>9416195.8568738233</v>
      </c>
      <c r="H114" s="8">
        <v>1</v>
      </c>
      <c r="I114" s="72" t="s">
        <v>257</v>
      </c>
    </row>
    <row r="115" spans="2:10" ht="13.2" customHeight="1" x14ac:dyDescent="0.25">
      <c r="B115" s="7" t="s">
        <v>65</v>
      </c>
      <c r="C115" s="10" t="s">
        <v>66</v>
      </c>
      <c r="D115" s="68" t="s">
        <v>64</v>
      </c>
      <c r="E115" s="9">
        <f t="shared" si="5"/>
        <v>1.062E-5</v>
      </c>
      <c r="F115" s="9">
        <f t="shared" si="6"/>
        <v>1.062E-7</v>
      </c>
      <c r="G115" s="9">
        <f t="shared" si="7"/>
        <v>9416195.8568738233</v>
      </c>
      <c r="H115" s="8">
        <v>1</v>
      </c>
      <c r="I115" s="72">
        <v>3.7290000000000001E-3</v>
      </c>
    </row>
    <row r="116" spans="2:10" ht="13.2" customHeight="1" x14ac:dyDescent="0.25">
      <c r="B116" s="7" t="s">
        <v>67</v>
      </c>
      <c r="C116" s="10" t="s">
        <v>68</v>
      </c>
      <c r="D116" s="68" t="s">
        <v>69</v>
      </c>
      <c r="E116" s="9">
        <f t="shared" si="5"/>
        <v>4.51E-6</v>
      </c>
      <c r="F116" s="9">
        <f t="shared" si="6"/>
        <v>4.51E-8</v>
      </c>
      <c r="G116" s="9">
        <f t="shared" si="7"/>
        <v>22172949.002217297</v>
      </c>
      <c r="H116" s="8">
        <v>1</v>
      </c>
      <c r="I116" s="72" t="s">
        <v>257</v>
      </c>
    </row>
    <row r="117" spans="2:10" ht="13.2" customHeight="1" x14ac:dyDescent="0.25">
      <c r="B117" s="8" t="s">
        <v>93</v>
      </c>
      <c r="C117" s="10" t="s">
        <v>94</v>
      </c>
      <c r="D117" s="68">
        <v>2000000000</v>
      </c>
      <c r="E117" s="9">
        <f t="shared" si="5"/>
        <v>2000</v>
      </c>
      <c r="F117" s="9">
        <f t="shared" si="6"/>
        <v>20</v>
      </c>
      <c r="G117" s="9">
        <f t="shared" si="7"/>
        <v>0.05</v>
      </c>
      <c r="H117" s="8">
        <v>1</v>
      </c>
      <c r="I117" s="72" t="s">
        <v>257</v>
      </c>
    </row>
    <row r="118" spans="2:10" ht="13.2" customHeight="1" x14ac:dyDescent="0.25">
      <c r="B118" s="8" t="s">
        <v>95</v>
      </c>
      <c r="C118" s="10" t="s">
        <v>94</v>
      </c>
      <c r="D118" s="68">
        <v>2000000</v>
      </c>
      <c r="E118" s="9">
        <f t="shared" si="5"/>
        <v>2</v>
      </c>
      <c r="F118" s="9">
        <f t="shared" si="6"/>
        <v>0.02</v>
      </c>
      <c r="G118" s="9">
        <f t="shared" si="7"/>
        <v>50</v>
      </c>
      <c r="H118" s="8">
        <v>1</v>
      </c>
      <c r="I118" s="72" t="s">
        <v>257</v>
      </c>
    </row>
    <row r="119" spans="2:10" ht="13.2" customHeight="1" x14ac:dyDescent="0.25">
      <c r="B119" s="7" t="s">
        <v>70</v>
      </c>
      <c r="C119" s="10" t="s">
        <v>71</v>
      </c>
      <c r="D119" s="68" t="s">
        <v>72</v>
      </c>
      <c r="E119" s="9">
        <f t="shared" si="5"/>
        <v>1.59E-6</v>
      </c>
      <c r="F119" s="9">
        <f t="shared" si="6"/>
        <v>1.59E-8</v>
      </c>
      <c r="G119" s="9">
        <f t="shared" si="7"/>
        <v>62893081.761006288</v>
      </c>
      <c r="H119" s="8">
        <v>1</v>
      </c>
      <c r="I119" s="72">
        <v>3.8189999999999999E-3</v>
      </c>
    </row>
    <row r="120" spans="2:10" ht="13.2" customHeight="1" x14ac:dyDescent="0.25">
      <c r="B120" s="7" t="s">
        <v>169</v>
      </c>
      <c r="C120" s="10" t="s">
        <v>277</v>
      </c>
      <c r="D120" s="68">
        <v>45</v>
      </c>
      <c r="E120" s="9">
        <f t="shared" si="5"/>
        <v>4.5000000000000003E-5</v>
      </c>
      <c r="F120" s="9">
        <f t="shared" si="6"/>
        <v>4.5000000000000003E-7</v>
      </c>
      <c r="G120" s="9">
        <f t="shared" si="7"/>
        <v>2222222.222222222</v>
      </c>
      <c r="H120" s="8">
        <v>2</v>
      </c>
      <c r="I120" s="72" t="s">
        <v>257</v>
      </c>
      <c r="J120" s="25" t="s">
        <v>280</v>
      </c>
    </row>
    <row r="121" spans="2:10" ht="13.2" customHeight="1" x14ac:dyDescent="0.25">
      <c r="B121" s="66" t="s">
        <v>279</v>
      </c>
      <c r="C121" s="10" t="s">
        <v>276</v>
      </c>
      <c r="D121" s="69">
        <f>E121*1000000</f>
        <v>46</v>
      </c>
      <c r="E121" s="1">
        <f>F121*100</f>
        <v>4.6E-5</v>
      </c>
      <c r="F121" s="67">
        <v>4.5999999999999999E-7</v>
      </c>
      <c r="G121" s="9">
        <f>1/F121</f>
        <v>2173913.0434782607</v>
      </c>
      <c r="H121" s="8">
        <v>100</v>
      </c>
      <c r="I121" s="72">
        <v>3.0000000000000001E-3</v>
      </c>
      <c r="J121" s="25" t="s">
        <v>280</v>
      </c>
    </row>
    <row r="122" spans="2:10" ht="13.2" customHeight="1" x14ac:dyDescent="0.25">
      <c r="B122" s="7" t="s">
        <v>73</v>
      </c>
      <c r="C122" s="10" t="s">
        <v>74</v>
      </c>
      <c r="D122" s="68" t="s">
        <v>43</v>
      </c>
      <c r="E122" s="9">
        <f t="shared" si="5"/>
        <v>1.552E-5</v>
      </c>
      <c r="F122" s="9">
        <f t="shared" si="6"/>
        <v>1.5520000000000001E-7</v>
      </c>
      <c r="G122" s="9">
        <f t="shared" si="7"/>
        <v>6443298.969072164</v>
      </c>
      <c r="H122" s="8">
        <v>1</v>
      </c>
      <c r="I122" s="72" t="s">
        <v>257</v>
      </c>
    </row>
    <row r="123" spans="2:10" ht="13.2" customHeight="1" x14ac:dyDescent="0.25">
      <c r="B123" s="11" t="s">
        <v>75</v>
      </c>
      <c r="C123" s="10" t="s">
        <v>76</v>
      </c>
      <c r="D123" s="68" t="s">
        <v>77</v>
      </c>
      <c r="E123" s="9">
        <f t="shared" si="5"/>
        <v>2.52E-4</v>
      </c>
      <c r="F123" s="9">
        <f t="shared" si="6"/>
        <v>2.52E-6</v>
      </c>
      <c r="G123" s="9">
        <f t="shared" si="7"/>
        <v>396825.39682539681</v>
      </c>
      <c r="H123" s="8">
        <v>1</v>
      </c>
      <c r="I123" s="72" t="s">
        <v>257</v>
      </c>
    </row>
    <row r="124" spans="2:10" ht="13.2" customHeight="1" x14ac:dyDescent="0.25">
      <c r="B124" s="7" t="s">
        <v>78</v>
      </c>
      <c r="C124" s="10" t="s">
        <v>79</v>
      </c>
      <c r="D124" s="68" t="s">
        <v>80</v>
      </c>
      <c r="E124" s="9">
        <f t="shared" si="5"/>
        <v>1.1550000000000001E-5</v>
      </c>
      <c r="F124" s="9">
        <f t="shared" si="6"/>
        <v>1.1550000000000001E-7</v>
      </c>
      <c r="G124" s="9">
        <f t="shared" si="7"/>
        <v>8658008.6580086574</v>
      </c>
      <c r="H124" s="8">
        <v>1</v>
      </c>
      <c r="I124" s="72" t="s">
        <v>257</v>
      </c>
    </row>
    <row r="125" spans="2:10" ht="13.2" customHeight="1" x14ac:dyDescent="0.25">
      <c r="B125" s="7" t="s">
        <v>81</v>
      </c>
      <c r="C125" s="10" t="s">
        <v>82</v>
      </c>
      <c r="D125" s="68" t="s">
        <v>83</v>
      </c>
      <c r="E125" s="9">
        <f t="shared" si="5"/>
        <v>5.5000000000000002E-5</v>
      </c>
      <c r="F125" s="9">
        <f t="shared" si="6"/>
        <v>5.5000000000000003E-7</v>
      </c>
      <c r="G125" s="9">
        <f t="shared" si="7"/>
        <v>1818181.8181818181</v>
      </c>
      <c r="H125" s="8">
        <v>1</v>
      </c>
      <c r="I125" s="72" t="s">
        <v>257</v>
      </c>
    </row>
    <row r="126" spans="2:10" ht="13.2" customHeight="1" x14ac:dyDescent="0.25">
      <c r="B126" s="7" t="s">
        <v>84</v>
      </c>
      <c r="C126" s="10" t="s">
        <v>85</v>
      </c>
      <c r="D126" s="68" t="s">
        <v>86</v>
      </c>
      <c r="E126" s="9">
        <f t="shared" si="5"/>
        <v>5.5999999999999997E-6</v>
      </c>
      <c r="F126" s="9">
        <f t="shared" si="6"/>
        <v>5.5999999999999999E-8</v>
      </c>
      <c r="G126" s="9">
        <f t="shared" si="7"/>
        <v>17857142.857142858</v>
      </c>
      <c r="H126" s="8">
        <v>1</v>
      </c>
      <c r="I126" s="72">
        <v>4.4029999999999998E-3</v>
      </c>
    </row>
    <row r="127" spans="2:10" ht="13.2" customHeight="1" x14ac:dyDescent="0.25">
      <c r="B127" s="7" t="s">
        <v>87</v>
      </c>
      <c r="C127" s="10" t="s">
        <v>88</v>
      </c>
      <c r="D127" s="68" t="s">
        <v>89</v>
      </c>
      <c r="E127" s="9">
        <f t="shared" si="5"/>
        <v>5.6799999999999998E-6</v>
      </c>
      <c r="F127" s="9">
        <f t="shared" si="6"/>
        <v>5.6799999999999999E-8</v>
      </c>
      <c r="G127" s="9">
        <f t="shared" si="7"/>
        <v>17605633.802816901</v>
      </c>
      <c r="H127" s="8">
        <v>1</v>
      </c>
      <c r="I127" s="72">
        <v>3.8470000000000002E-3</v>
      </c>
    </row>
    <row r="128" spans="2:10" ht="13.2" customHeight="1" x14ac:dyDescent="0.25">
      <c r="B128" s="7" t="s">
        <v>90</v>
      </c>
      <c r="C128" s="10" t="s">
        <v>91</v>
      </c>
      <c r="D128" s="68" t="s">
        <v>92</v>
      </c>
      <c r="E128" s="9">
        <f t="shared" si="5"/>
        <v>4.0999999999999997E-6</v>
      </c>
      <c r="F128" s="9">
        <f t="shared" si="6"/>
        <v>4.0999999999999997E-8</v>
      </c>
      <c r="G128" s="9">
        <f t="shared" si="7"/>
        <v>24390243.902439028</v>
      </c>
      <c r="H128" s="8">
        <v>1</v>
      </c>
      <c r="I128" s="72" t="s">
        <v>257</v>
      </c>
    </row>
    <row r="132" spans="2:6" x14ac:dyDescent="0.25">
      <c r="B132" t="s">
        <v>214</v>
      </c>
    </row>
    <row r="133" spans="2:6" x14ac:dyDescent="0.25">
      <c r="C133" t="s">
        <v>6</v>
      </c>
      <c r="D133" t="s">
        <v>179</v>
      </c>
      <c r="E133" t="s">
        <v>24</v>
      </c>
      <c r="F133" t="s">
        <v>181</v>
      </c>
    </row>
    <row r="134" spans="2:6" x14ac:dyDescent="0.25">
      <c r="E134" t="s">
        <v>180</v>
      </c>
    </row>
    <row r="135" spans="2:6" x14ac:dyDescent="0.25">
      <c r="B135" s="35" t="s">
        <v>161</v>
      </c>
      <c r="C135" s="36">
        <v>1</v>
      </c>
      <c r="D135" s="39">
        <v>0</v>
      </c>
      <c r="E135" s="1">
        <v>1E+16</v>
      </c>
    </row>
    <row r="136" spans="2:6" x14ac:dyDescent="0.25">
      <c r="B136" s="35" t="s">
        <v>162</v>
      </c>
      <c r="C136" s="36">
        <v>1</v>
      </c>
      <c r="D136" s="39">
        <v>0</v>
      </c>
      <c r="E136" s="1">
        <v>1E+16</v>
      </c>
    </row>
    <row r="137" spans="2:6" x14ac:dyDescent="0.25">
      <c r="B137" s="35" t="s">
        <v>163</v>
      </c>
      <c r="C137" s="36">
        <v>1</v>
      </c>
      <c r="D137" s="39">
        <v>0</v>
      </c>
      <c r="E137" s="1">
        <v>1E+16</v>
      </c>
    </row>
    <row r="138" spans="2:6" x14ac:dyDescent="0.25">
      <c r="B138" t="s">
        <v>170</v>
      </c>
      <c r="C138">
        <v>1</v>
      </c>
      <c r="D138">
        <v>0</v>
      </c>
      <c r="E138" s="1">
        <v>1E+16</v>
      </c>
    </row>
    <row r="139" spans="2:6" x14ac:dyDescent="0.25">
      <c r="B139" t="s">
        <v>171</v>
      </c>
      <c r="C139">
        <v>9.6</v>
      </c>
      <c r="D139">
        <v>1E-4</v>
      </c>
      <c r="E139" s="1">
        <v>1E+16</v>
      </c>
    </row>
    <row r="140" spans="2:6" x14ac:dyDescent="0.25">
      <c r="B140" s="28" t="s">
        <v>166</v>
      </c>
      <c r="C140" s="29">
        <v>1.43</v>
      </c>
      <c r="D140" s="30">
        <v>1.4999999999999999E-4</v>
      </c>
      <c r="E140" s="1">
        <v>1E+16</v>
      </c>
    </row>
    <row r="141" spans="2:6" x14ac:dyDescent="0.25">
      <c r="B141" s="28" t="s">
        <v>221</v>
      </c>
      <c r="C141" s="29">
        <v>3.75</v>
      </c>
      <c r="D141" s="30">
        <v>4.0000000000000002E-4</v>
      </c>
      <c r="E141" s="1">
        <v>1E+18</v>
      </c>
      <c r="F141" t="s">
        <v>222</v>
      </c>
    </row>
    <row r="142" spans="2:6" x14ac:dyDescent="0.25">
      <c r="B142" s="28" t="s">
        <v>224</v>
      </c>
      <c r="C142" s="29">
        <v>3.3</v>
      </c>
      <c r="D142" s="30">
        <v>3.0000000000000001E-3</v>
      </c>
      <c r="E142" s="1">
        <v>1E+16</v>
      </c>
    </row>
    <row r="143" spans="2:6" x14ac:dyDescent="0.25">
      <c r="B143" t="s">
        <v>172</v>
      </c>
      <c r="C143">
        <v>5</v>
      </c>
      <c r="D143">
        <v>1E-3</v>
      </c>
      <c r="E143" s="1">
        <v>1E+16</v>
      </c>
      <c r="F143" t="s">
        <v>182</v>
      </c>
    </row>
    <row r="144" spans="2:6" x14ac:dyDescent="0.25">
      <c r="B144" t="s">
        <v>173</v>
      </c>
      <c r="C144">
        <v>5.4</v>
      </c>
      <c r="D144">
        <v>2.9999999999999997E-4</v>
      </c>
      <c r="E144" s="1">
        <v>1E+16</v>
      </c>
    </row>
    <row r="145" spans="2:5" x14ac:dyDescent="0.25">
      <c r="B145" t="s">
        <v>174</v>
      </c>
      <c r="C145">
        <v>2.5499999999999998</v>
      </c>
      <c r="D145">
        <v>2.9999999999999997E-4</v>
      </c>
      <c r="E145" s="1">
        <v>1E+16</v>
      </c>
    </row>
    <row r="146" spans="2:5" x14ac:dyDescent="0.25">
      <c r="B146" t="s">
        <v>223</v>
      </c>
      <c r="C146">
        <v>2.1</v>
      </c>
      <c r="D146">
        <v>2.9999999999999997E-4</v>
      </c>
      <c r="E146" s="1">
        <v>1E+18</v>
      </c>
    </row>
    <row r="147" spans="2:5" x14ac:dyDescent="0.25">
      <c r="B147" t="s">
        <v>175</v>
      </c>
      <c r="C147">
        <v>3.8</v>
      </c>
      <c r="D147">
        <v>6.0000000000000002E-5</v>
      </c>
      <c r="E147" s="1">
        <v>1E+16</v>
      </c>
    </row>
    <row r="148" spans="2:5" x14ac:dyDescent="0.25">
      <c r="B148" t="s">
        <v>176</v>
      </c>
      <c r="C148">
        <v>2.54</v>
      </c>
      <c r="D148">
        <v>5.0000000000000001E-4</v>
      </c>
      <c r="E148" s="1">
        <v>1E+16</v>
      </c>
    </row>
    <row r="149" spans="2:5" x14ac:dyDescent="0.25">
      <c r="B149" t="s">
        <v>93</v>
      </c>
      <c r="C149">
        <v>11.7</v>
      </c>
      <c r="D149">
        <v>1.4999999999999999E-4</v>
      </c>
      <c r="E149" s="1">
        <v>20</v>
      </c>
    </row>
    <row r="150" spans="2:5" x14ac:dyDescent="0.25">
      <c r="B150" t="s">
        <v>220</v>
      </c>
      <c r="C150">
        <v>4.5</v>
      </c>
      <c r="D150">
        <v>5.0000000000000001E-3</v>
      </c>
      <c r="E150" s="1">
        <v>1E+16</v>
      </c>
    </row>
    <row r="151" spans="2:5" x14ac:dyDescent="0.25">
      <c r="B151" t="s">
        <v>177</v>
      </c>
      <c r="C151">
        <v>1.03</v>
      </c>
      <c r="D151">
        <v>1E-4</v>
      </c>
      <c r="E151" s="1">
        <v>1E+16</v>
      </c>
    </row>
    <row r="152" spans="2:5" x14ac:dyDescent="0.25">
      <c r="B152" t="s">
        <v>178</v>
      </c>
      <c r="C152">
        <v>2.02</v>
      </c>
      <c r="D152">
        <v>1.4999999999999999E-4</v>
      </c>
      <c r="E152" s="1">
        <v>1E+16</v>
      </c>
    </row>
    <row r="153" spans="2:5" x14ac:dyDescent="0.25">
      <c r="E153" s="1"/>
    </row>
    <row r="154" spans="2:5" x14ac:dyDescent="0.25">
      <c r="E154" s="1"/>
    </row>
    <row r="155" spans="2:5" x14ac:dyDescent="0.25">
      <c r="E155" s="1"/>
    </row>
  </sheetData>
  <phoneticPr fontId="2" type="noConversion"/>
  <dataValidations count="5">
    <dataValidation type="list" allowBlank="1" showInputMessage="1" showErrorMessage="1" sqref="E8" xr:uid="{00000000-0002-0000-0100-000002000000}">
      <formula1>$B$135:$B$152</formula1>
    </dataValidation>
    <dataValidation type="list" allowBlank="1" showInputMessage="1" showErrorMessage="1" sqref="C8:D8" xr:uid="{00000000-0002-0000-0100-000003000000}">
      <formula1>$B$97:$B$128</formula1>
    </dataValidation>
    <dataValidation type="list" allowBlank="1" showInputMessage="1" showErrorMessage="1" sqref="E4 D23" xr:uid="{00000000-0002-0000-0100-000000000000}">
      <formula1>$L$96:$L$97</formula1>
    </dataValidation>
    <dataValidation type="list" allowBlank="1" showInputMessage="1" showErrorMessage="1" sqref="C21" xr:uid="{00000000-0002-0000-0100-000001000000}">
      <formula1>$L$97:$L$98</formula1>
    </dataValidation>
    <dataValidation type="list" allowBlank="1" showInputMessage="1" showErrorMessage="1" sqref="D62:D63" xr:uid="{00000000-0002-0000-0100-000004000000}">
      <formula1>$L$104:$L$107</formula1>
    </dataValidation>
  </dataValidations>
  <pageMargins left="0.75" right="0.75" top="1" bottom="1" header="0.5" footer="0.5"/>
  <pageSetup orientation="landscape" horizontalDpi="200" verticalDpi="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X161"/>
  <sheetViews>
    <sheetView topLeftCell="R1" workbookViewId="0">
      <pane ySplit="12" topLeftCell="A150" activePane="bottomLeft" state="frozen"/>
      <selection pane="bottomLeft" activeCell="AK161" sqref="AK161"/>
    </sheetView>
  </sheetViews>
  <sheetFormatPr defaultRowHeight="13.2" x14ac:dyDescent="0.25"/>
  <cols>
    <col min="1" max="1" width="14.109375" customWidth="1"/>
    <col min="2" max="2" width="12" customWidth="1"/>
    <col min="7" max="7" width="10.88671875" customWidth="1"/>
    <col min="8" max="8" width="12.44140625" bestFit="1" customWidth="1"/>
    <col min="14" max="14" width="12.44140625" customWidth="1"/>
    <col min="17" max="20" width="9.109375" style="14"/>
    <col min="27" max="28" width="9.109375" style="14"/>
    <col min="29" max="29" width="9.109375" style="17"/>
    <col min="31" max="31" width="12.33203125" style="14" bestFit="1" customWidth="1"/>
    <col min="37" max="37" width="10.33203125" customWidth="1"/>
    <col min="38" max="38" width="9.33203125" customWidth="1"/>
    <col min="39" max="39" width="11.88671875" customWidth="1"/>
    <col min="40" max="40" width="11.5546875" customWidth="1"/>
    <col min="42" max="42" width="10.77734375" customWidth="1"/>
    <col min="43" max="43" width="10.5546875" customWidth="1"/>
    <col min="44" max="44" width="11" customWidth="1"/>
    <col min="45" max="45" width="10.5546875" customWidth="1"/>
    <col min="47" max="47" width="10.77734375" customWidth="1"/>
    <col min="48" max="48" width="10.21875" customWidth="1"/>
    <col min="49" max="50" width="11.44140625" customWidth="1"/>
  </cols>
  <sheetData>
    <row r="1" spans="2:50" x14ac:dyDescent="0.25">
      <c r="B1" t="s">
        <v>123</v>
      </c>
      <c r="AK1" s="25" t="s">
        <v>268</v>
      </c>
    </row>
    <row r="2" spans="2:50" x14ac:dyDescent="0.25">
      <c r="B2" t="s">
        <v>121</v>
      </c>
      <c r="C2">
        <f>'Enter data'!C38</f>
        <v>1.4000000000000001E-4</v>
      </c>
      <c r="D2" t="s">
        <v>3</v>
      </c>
      <c r="M2" s="25" t="s">
        <v>260</v>
      </c>
      <c r="AK2" s="25" t="s">
        <v>271</v>
      </c>
      <c r="AM2" s="1">
        <f>IF('Enter data'!C10="No data",0,'Enter data'!C10)</f>
        <v>4.0410000000000003E-3</v>
      </c>
    </row>
    <row r="3" spans="2:50" x14ac:dyDescent="0.25">
      <c r="B3" t="s">
        <v>122</v>
      </c>
      <c r="C3">
        <f>'Enter data'!C39</f>
        <v>4.6999999999999999E-4</v>
      </c>
      <c r="D3" t="s">
        <v>3</v>
      </c>
      <c r="AK3" s="25" t="s">
        <v>270</v>
      </c>
      <c r="AM3" s="1">
        <f>IF('Enter data'!D10="No data",0,'Enter data'!D10)</f>
        <v>4.0410000000000003E-3</v>
      </c>
    </row>
    <row r="4" spans="2:50" x14ac:dyDescent="0.25">
      <c r="B4" t="s">
        <v>104</v>
      </c>
      <c r="C4">
        <f>'Enter data'!C40</f>
        <v>5.9500000000000004E-4</v>
      </c>
      <c r="D4" t="s">
        <v>3</v>
      </c>
    </row>
    <row r="5" spans="2:50" x14ac:dyDescent="0.25">
      <c r="B5" t="s">
        <v>127</v>
      </c>
      <c r="C5" s="1">
        <f>'Enter data'!C11</f>
        <v>1.6730000000000002E-8</v>
      </c>
      <c r="D5" t="s">
        <v>8</v>
      </c>
      <c r="G5" t="s">
        <v>129</v>
      </c>
      <c r="H5">
        <f>'Enter data'!C14*0.0000004*PI()</f>
        <v>1.2566370614359173E-6</v>
      </c>
      <c r="I5" t="s">
        <v>114</v>
      </c>
      <c r="AK5" s="25" t="s">
        <v>264</v>
      </c>
      <c r="AP5" s="25" t="s">
        <v>265</v>
      </c>
      <c r="AU5" s="25" t="s">
        <v>266</v>
      </c>
    </row>
    <row r="6" spans="2:50" x14ac:dyDescent="0.25">
      <c r="B6" t="s">
        <v>126</v>
      </c>
      <c r="C6" s="1">
        <f>'Enter data'!D11</f>
        <v>1.6730000000000002E-8</v>
      </c>
      <c r="D6" t="s">
        <v>8</v>
      </c>
      <c r="G6" t="s">
        <v>128</v>
      </c>
      <c r="H6">
        <f>'Enter data'!D14*0.0000004*PI()</f>
        <v>1.2566370614359173E-6</v>
      </c>
      <c r="I6" t="s">
        <v>114</v>
      </c>
      <c r="Q6"/>
      <c r="AJ6" s="25" t="s">
        <v>269</v>
      </c>
      <c r="AK6">
        <f>'Enter data'!C80</f>
        <v>-54</v>
      </c>
      <c r="AL6" s="25" t="s">
        <v>31</v>
      </c>
      <c r="AP6">
        <f>'Enter data'!C81</f>
        <v>25</v>
      </c>
      <c r="AQ6" s="25" t="s">
        <v>31</v>
      </c>
      <c r="AU6">
        <f>'Enter data'!C82</f>
        <v>85</v>
      </c>
      <c r="AV6" s="25" t="s">
        <v>31</v>
      </c>
    </row>
    <row r="7" spans="2:50" x14ac:dyDescent="0.25">
      <c r="C7" s="1"/>
    </row>
    <row r="8" spans="2:50" x14ac:dyDescent="0.25">
      <c r="C8" s="1"/>
      <c r="AJ8" s="25" t="s">
        <v>281</v>
      </c>
      <c r="AK8" t="str">
        <f>_xlfn.CONCAT(AK6, " C")</f>
        <v>-54 C</v>
      </c>
      <c r="AP8" t="str">
        <f>_xlfn.CONCAT(AP6, " C")</f>
        <v>25 C</v>
      </c>
      <c r="AU8" t="str">
        <f>_xlfn.CONCAT(AU6, " C")</f>
        <v>85 C</v>
      </c>
    </row>
    <row r="9" spans="2:50" x14ac:dyDescent="0.25">
      <c r="G9" s="22" t="s">
        <v>148</v>
      </c>
      <c r="M9" s="17" t="s">
        <v>296</v>
      </c>
      <c r="O9" t="s">
        <v>183</v>
      </c>
    </row>
    <row r="10" spans="2:50" s="13" customFormat="1" x14ac:dyDescent="0.25">
      <c r="G10" s="13" t="s">
        <v>98</v>
      </c>
      <c r="H10" s="13" t="s">
        <v>99</v>
      </c>
      <c r="M10" s="13" t="s">
        <v>18</v>
      </c>
      <c r="N10" s="13" t="s">
        <v>17</v>
      </c>
      <c r="O10" s="13" t="s">
        <v>18</v>
      </c>
      <c r="P10" s="13" t="s">
        <v>17</v>
      </c>
      <c r="Q10" s="15" t="s">
        <v>18</v>
      </c>
      <c r="R10" s="15" t="s">
        <v>17</v>
      </c>
      <c r="S10" s="15" t="s">
        <v>18</v>
      </c>
      <c r="T10" s="15" t="s">
        <v>17</v>
      </c>
      <c r="U10" s="13" t="s">
        <v>19</v>
      </c>
      <c r="Z10" s="22" t="s">
        <v>140</v>
      </c>
      <c r="AA10" s="15"/>
      <c r="AB10" s="15"/>
      <c r="AC10" s="18"/>
      <c r="AD10" s="91" t="s">
        <v>293</v>
      </c>
      <c r="AE10" s="15"/>
      <c r="AH10" s="18" t="s">
        <v>294</v>
      </c>
    </row>
    <row r="11" spans="2:50" ht="66" x14ac:dyDescent="0.25">
      <c r="D11" t="s">
        <v>10</v>
      </c>
      <c r="E11" t="s">
        <v>10</v>
      </c>
      <c r="G11" t="s">
        <v>1</v>
      </c>
      <c r="H11" t="s">
        <v>1</v>
      </c>
      <c r="I11" s="65" t="s">
        <v>261</v>
      </c>
      <c r="J11" s="65" t="s">
        <v>262</v>
      </c>
      <c r="K11" t="s">
        <v>106</v>
      </c>
      <c r="O11" t="s">
        <v>21</v>
      </c>
      <c r="P11" t="s">
        <v>21</v>
      </c>
      <c r="Q11" s="46" t="s">
        <v>238</v>
      </c>
      <c r="R11" s="46" t="s">
        <v>238</v>
      </c>
      <c r="S11" s="46" t="s">
        <v>239</v>
      </c>
      <c r="T11" s="46" t="s">
        <v>239</v>
      </c>
      <c r="Z11" t="s">
        <v>130</v>
      </c>
      <c r="AA11" s="46" t="s">
        <v>236</v>
      </c>
      <c r="AB11" s="46" t="s">
        <v>237</v>
      </c>
      <c r="AD11" t="s">
        <v>130</v>
      </c>
      <c r="AE11" s="46" t="s">
        <v>234</v>
      </c>
      <c r="AF11" s="46" t="s">
        <v>235</v>
      </c>
      <c r="AH11" s="46" t="s">
        <v>232</v>
      </c>
      <c r="AI11" s="46" t="s">
        <v>233</v>
      </c>
      <c r="AK11" s="46" t="s">
        <v>272</v>
      </c>
      <c r="AL11" s="46" t="s">
        <v>273</v>
      </c>
      <c r="AM11" s="15" t="s">
        <v>291</v>
      </c>
      <c r="AN11" s="46" t="s">
        <v>274</v>
      </c>
      <c r="AP11" s="46" t="s">
        <v>272</v>
      </c>
      <c r="AQ11" s="46" t="s">
        <v>273</v>
      </c>
      <c r="AR11" s="15" t="s">
        <v>291</v>
      </c>
      <c r="AS11" s="46" t="s">
        <v>274</v>
      </c>
      <c r="AU11" s="46" t="s">
        <v>272</v>
      </c>
      <c r="AV11" s="46" t="s">
        <v>273</v>
      </c>
      <c r="AW11" s="15" t="s">
        <v>291</v>
      </c>
      <c r="AX11" s="46" t="s">
        <v>274</v>
      </c>
    </row>
    <row r="12" spans="2:50" x14ac:dyDescent="0.25">
      <c r="D12" t="s">
        <v>125</v>
      </c>
      <c r="E12" t="s">
        <v>0</v>
      </c>
      <c r="G12" t="s">
        <v>3</v>
      </c>
      <c r="H12" t="s">
        <v>3</v>
      </c>
      <c r="I12" t="s">
        <v>117</v>
      </c>
      <c r="J12" t="s">
        <v>117</v>
      </c>
      <c r="K12" t="s">
        <v>2</v>
      </c>
      <c r="M12" s="89" t="s">
        <v>283</v>
      </c>
      <c r="N12" s="89" t="s">
        <v>283</v>
      </c>
      <c r="O12" t="s">
        <v>11</v>
      </c>
      <c r="P12" t="s">
        <v>11</v>
      </c>
      <c r="Q12" s="14" t="s">
        <v>4</v>
      </c>
      <c r="R12" s="14" t="s">
        <v>4</v>
      </c>
      <c r="S12" s="14" t="s">
        <v>147</v>
      </c>
      <c r="T12" s="14" t="s">
        <v>147</v>
      </c>
      <c r="U12" t="s">
        <v>11</v>
      </c>
      <c r="V12" t="s">
        <v>20</v>
      </c>
      <c r="W12" t="s">
        <v>4</v>
      </c>
      <c r="Z12" t="s">
        <v>108</v>
      </c>
      <c r="AA12" s="14" t="s">
        <v>4</v>
      </c>
      <c r="AB12" s="14" t="s">
        <v>147</v>
      </c>
      <c r="AD12" t="s">
        <v>9</v>
      </c>
      <c r="AE12" s="14" t="s">
        <v>4</v>
      </c>
      <c r="AF12" t="s">
        <v>147</v>
      </c>
      <c r="AH12" s="14" t="s">
        <v>4</v>
      </c>
      <c r="AI12" t="s">
        <v>147</v>
      </c>
      <c r="AK12" s="25" t="s">
        <v>4</v>
      </c>
      <c r="AL12" s="25" t="s">
        <v>4</v>
      </c>
      <c r="AM12" s="25" t="s">
        <v>4</v>
      </c>
      <c r="AN12" s="25" t="s">
        <v>4</v>
      </c>
      <c r="AP12" s="25" t="s">
        <v>4</v>
      </c>
      <c r="AQ12" s="25" t="s">
        <v>4</v>
      </c>
      <c r="AR12" s="25" t="s">
        <v>4</v>
      </c>
      <c r="AS12" s="25" t="s">
        <v>4</v>
      </c>
      <c r="AU12" s="25" t="s">
        <v>4</v>
      </c>
      <c r="AV12" s="25" t="s">
        <v>4</v>
      </c>
      <c r="AW12" s="25" t="s">
        <v>4</v>
      </c>
      <c r="AX12" s="25" t="s">
        <v>4</v>
      </c>
    </row>
    <row r="13" spans="2:50" x14ac:dyDescent="0.25">
      <c r="D13">
        <v>0</v>
      </c>
      <c r="E13">
        <f>D13/1000000000</f>
        <v>0</v>
      </c>
      <c r="G13" t="s">
        <v>124</v>
      </c>
      <c r="H13" t="s">
        <v>124</v>
      </c>
      <c r="I13" s="1">
        <f>'Enter data'!C35</f>
        <v>4.1822452200914122E-7</v>
      </c>
      <c r="J13" s="1">
        <f>'Enter data'!D35</f>
        <v>6.1575216010359951E-8</v>
      </c>
      <c r="K13" t="s">
        <v>124</v>
      </c>
      <c r="M13" s="24">
        <v>1</v>
      </c>
      <c r="N13" s="24">
        <v>1</v>
      </c>
      <c r="O13" s="1">
        <f>C$5/I13*M13</f>
        <v>4.0002436776374224E-2</v>
      </c>
      <c r="P13" s="1">
        <f>C$6/J13*N13</f>
        <v>0.27170022427830703</v>
      </c>
      <c r="Q13" s="16">
        <f>8.686*O13/2/'Enter data'!C$46</f>
        <v>3.4646403429960562E-3</v>
      </c>
      <c r="R13" s="16">
        <f>8.686*P13/2/'Enter data'!C$46</f>
        <v>2.3532155390885195E-2</v>
      </c>
      <c r="S13" s="16">
        <f>Q13/3.2808</f>
        <v>1.0560352179334479E-3</v>
      </c>
      <c r="T13" s="16">
        <f>R13/3.2808</f>
        <v>7.1726881830301127E-3</v>
      </c>
      <c r="U13">
        <f t="shared" ref="U13:U44" si="0">O13+P13</f>
        <v>0.31170266105468125</v>
      </c>
      <c r="V13">
        <f>U13/(2*'Enter data'!$C$46)</f>
        <v>3.1080814798389654E-3</v>
      </c>
      <c r="W13">
        <f t="shared" ref="W13:W45" si="1">V13*8.68588</f>
        <v>2.6996422764103672E-2</v>
      </c>
      <c r="Z13">
        <v>0</v>
      </c>
      <c r="AA13" s="14">
        <v>0</v>
      </c>
      <c r="AB13" s="14">
        <v>0</v>
      </c>
      <c r="AD13" s="1">
        <f>2*PI()/'Enter data'!$E$11/LN($C$3/$C$2)</f>
        <v>5.1880404392247992E-18</v>
      </c>
      <c r="AE13" s="14">
        <f>8.686*AD13*'Enter data'!$C$46/2</f>
        <v>1.1298253133715425E-15</v>
      </c>
      <c r="AF13" s="16">
        <f>AE13/3.2808</f>
        <v>3.4437494311495441E-16</v>
      </c>
      <c r="AH13" s="1">
        <f>Q13+R13+AA13+AE13</f>
        <v>2.6996795733882382E-2</v>
      </c>
      <c r="AI13" s="16">
        <f>AH13/3.2808</f>
        <v>8.2287234009639047E-3</v>
      </c>
      <c r="AK13" s="1">
        <f>$Q13*(1+$AM$2*($AK$6-25))</f>
        <v>2.358592024538338E-3</v>
      </c>
      <c r="AL13" s="1">
        <f>$R13*(1+$AM$2*($AK$6-25))</f>
        <v>1.6019773636054394E-2</v>
      </c>
      <c r="AM13" s="1">
        <f>AK13+AL13</f>
        <v>1.8378365660592734E-2</v>
      </c>
      <c r="AN13" s="1">
        <f>AM13+$AE13+$AA13</f>
        <v>1.8378365660593865E-2</v>
      </c>
      <c r="AP13" s="1">
        <f>$Q13*(1+$AM$2*($AP$6-25))</f>
        <v>3.4646403429960562E-3</v>
      </c>
      <c r="AQ13" s="1">
        <f>$R13*(1+$AM$3*($AP$6-25))</f>
        <v>2.3532155390885195E-2</v>
      </c>
      <c r="AR13" s="1">
        <f>AP13+AQ13</f>
        <v>2.6996795733881251E-2</v>
      </c>
      <c r="AS13" s="1">
        <f>AR13+$AE13+$AA13</f>
        <v>2.6996795733882382E-2</v>
      </c>
      <c r="AU13" s="1">
        <f>$Q13*(1+$AM$2*($UP$6-25))</f>
        <v>3.1146250523448795E-3</v>
      </c>
      <c r="AV13" s="1">
        <f>$R13*(1+$AM$3*($AU$6-25))</f>
        <v>2.9237761786959218E-2</v>
      </c>
      <c r="AW13" s="1">
        <f>AU13+AV13</f>
        <v>3.2352386839304095E-2</v>
      </c>
      <c r="AX13" s="1">
        <f>AW13+$AE13+$AA13</f>
        <v>3.2352386839305226E-2</v>
      </c>
    </row>
    <row r="14" spans="2:50" x14ac:dyDescent="0.25">
      <c r="D14">
        <v>1</v>
      </c>
      <c r="E14">
        <f t="shared" ref="E14:E77" si="2">D14/1000000000</f>
        <v>1.0000000000000001E-9</v>
      </c>
      <c r="G14" s="1">
        <f>(C$5/(PI()*D14*H$5))^0.5</f>
        <v>6.5098068372577533E-2</v>
      </c>
      <c r="H14" s="1">
        <f>(C$6/(PI()*D14*H$6))^0.5</f>
        <v>6.5098068372577533E-2</v>
      </c>
      <c r="I14" s="1">
        <f>2*PI()*G14*(C$3+G14-(C$4+G14)*EXP((C$3-C$4)/G14))</f>
        <v>4.1780755137904472E-7</v>
      </c>
      <c r="J14" s="1">
        <f>2*PI()*H14*(C$2+H14*(EXP(-C$2/H14)-1))</f>
        <v>6.1531098483851936E-8</v>
      </c>
      <c r="K14" s="1">
        <f>'Enter data'!$C$86/D14</f>
        <v>299792458</v>
      </c>
      <c r="L14" s="1"/>
      <c r="M14" s="24">
        <f>1+(2/PI())*ATAN(1.4*('Enter data'!C$32/G14)^2)</f>
        <v>1</v>
      </c>
      <c r="N14" s="24">
        <f>1+(2/PI())*ATAN(1.4*('Enter data'!D$32/H14)^2)</f>
        <v>1</v>
      </c>
      <c r="O14" s="1">
        <f t="shared" ref="O14:O77" si="3">C$5/I14*M14</f>
        <v>4.0042359083218571E-2</v>
      </c>
      <c r="P14" s="1">
        <f t="shared" ref="P14:P77" si="4">C$6/J14*N14</f>
        <v>0.27189503214200833</v>
      </c>
      <c r="Q14" s="16">
        <f>8.686*O14/2/'Enter data'!C$46</f>
        <v>3.4680980432269595E-3</v>
      </c>
      <c r="R14" s="16">
        <f>8.686*P14/2/'Enter data'!C$46</f>
        <v>2.3549027842618215E-2</v>
      </c>
      <c r="S14" s="16">
        <f t="shared" ref="S14:S77" si="5">Q14/3.2808</f>
        <v>1.0570891377794927E-3</v>
      </c>
      <c r="T14" s="16">
        <f t="shared" ref="T14:T77" si="6">R14/3.2808</f>
        <v>7.1778309688546125E-3</v>
      </c>
      <c r="U14">
        <f t="shared" si="0"/>
        <v>0.3119373912252269</v>
      </c>
      <c r="V14">
        <f>U14/(2*'Enter data'!$C$46)</f>
        <v>3.1104220453425251E-3</v>
      </c>
      <c r="W14">
        <f t="shared" si="1"/>
        <v>2.7016752635199731E-2</v>
      </c>
      <c r="Y14" s="1"/>
      <c r="Z14" s="1">
        <f>4*PI()^2*D14*'Enter data'!$C$85*'Enter data'!$E$15*'Enter data'!$E$16/LN('Enter data'!$C$45)</f>
        <v>1.8183291484249379E-13</v>
      </c>
      <c r="AA14" s="16">
        <f>27.28753*'Enter data'!$E$15^0.5*'Enter data'!$E$16*D14/'Enter data'!$C$86</f>
        <v>3.9570763088004036E-11</v>
      </c>
      <c r="AB14" s="16">
        <f>AA14/3.2808</f>
        <v>1.2061315254817128E-11</v>
      </c>
      <c r="AC14" s="19"/>
      <c r="AD14">
        <f>2*PI()/'Enter data'!$E$11/LN($C$3/$C$2)</f>
        <v>5.1880404392247992E-18</v>
      </c>
      <c r="AE14" s="14">
        <f>8.686*AD14*'Enter data'!$C$46/2</f>
        <v>1.1298253133715425E-15</v>
      </c>
      <c r="AF14" s="16">
        <f t="shared" ref="AF14:AF77" si="7">AE14/3.2808</f>
        <v>3.4437494311495441E-16</v>
      </c>
      <c r="AH14" s="1">
        <f t="shared" ref="AH14:AH44" si="8">Q14+R14+AA14+AE14</f>
        <v>2.7017125925417069E-2</v>
      </c>
      <c r="AI14" s="16">
        <f t="shared" ref="AI14:AI77" si="9">AH14/3.2808</f>
        <v>8.2349201186957648E-3</v>
      </c>
      <c r="AK14" s="1">
        <f t="shared" ref="AK14:AK77" si="10">$Q14*(1+$AM$2*($AK$6-25))</f>
        <v>2.3609458920052281E-3</v>
      </c>
      <c r="AL14" s="1">
        <f t="shared" ref="AL14:AL77" si="11">$R14*(1+$AM$2*($AK$6-25))</f>
        <v>1.6031259743168616E-2</v>
      </c>
      <c r="AM14" s="1">
        <f t="shared" ref="AM14:AM77" si="12">AK14+AL14</f>
        <v>1.8392205635173846E-2</v>
      </c>
      <c r="AN14" s="1">
        <f t="shared" ref="AN14:AN77" si="13">AM14+$AE14+$AA14</f>
        <v>1.839220567474574E-2</v>
      </c>
      <c r="AP14" s="1">
        <f t="shared" ref="AP14:AP77" si="14">$Q14*(1+$AM$2*($AP$6-25))</f>
        <v>3.4680980432269595E-3</v>
      </c>
      <c r="AQ14" s="1">
        <f t="shared" ref="AQ14:AQ77" si="15">$R14*(1+$AM$3*($AP$6-25))</f>
        <v>2.3549027842618215E-2</v>
      </c>
      <c r="AR14" s="1">
        <f t="shared" ref="AR14:AR77" si="16">AP14+AQ14</f>
        <v>2.7017125885845174E-2</v>
      </c>
      <c r="AS14" s="1">
        <f t="shared" ref="AS14:AS77" si="17">AR14+$AE14+$AA14</f>
        <v>2.7017125925417069E-2</v>
      </c>
      <c r="AU14" s="1">
        <f t="shared" ref="AU14:AU77" si="18">$Q14*(1+$AM$2*($UP$6-25))</f>
        <v>3.117733438409956E-3</v>
      </c>
      <c r="AV14" s="1">
        <f t="shared" ref="AV14:AV77" si="19">$R14*(1+$AM$3*($AU$6-25))</f>
        <v>2.9258725133339426E-2</v>
      </c>
      <c r="AW14" s="1">
        <f t="shared" ref="AW14:AW77" si="20">AU14+AV14</f>
        <v>3.2376458571749381E-2</v>
      </c>
      <c r="AX14" s="1">
        <f t="shared" ref="AX14:AX77" si="21">AW14+$AE14+$AA14</f>
        <v>3.2376458611321275E-2</v>
      </c>
    </row>
    <row r="15" spans="2:50" x14ac:dyDescent="0.25">
      <c r="D15" s="1">
        <f>D14*'Enter data'!$C$77</f>
        <v>1.194415425143333</v>
      </c>
      <c r="E15">
        <f t="shared" si="2"/>
        <v>1.1944154251433329E-9</v>
      </c>
      <c r="G15" s="1">
        <f t="shared" ref="G15:G78" si="22">(C$5/(PI()*D15*H$5))^0.5</f>
        <v>5.9564897725198671E-2</v>
      </c>
      <c r="H15" s="1">
        <f t="shared" ref="H15:H78" si="23">(C$6/(PI()*D15*H$6))^0.5</f>
        <v>5.9564897725198671E-2</v>
      </c>
      <c r="I15" s="1">
        <f t="shared" ref="I15:I78" si="24">2*PI()*G15*(C$3+G15-(C$4+G15)*EXP((C$3-C$4)/G15))</f>
        <v>4.1776884525971158E-7</v>
      </c>
      <c r="J15" s="1">
        <f t="shared" ref="J15:J78" si="25">2*PI()*H15*(C$2+H15*(EXP(-C$2/H15)-1))</f>
        <v>6.1527002673439447E-8</v>
      </c>
      <c r="K15" s="1">
        <f>'Enter data'!$C$86/D15</f>
        <v>250995132.58883449</v>
      </c>
      <c r="L15" s="1"/>
      <c r="M15" s="24">
        <f>1+(2/PI())*ATAN(1.4*('Enter data'!C$32/G15)^2)</f>
        <v>1</v>
      </c>
      <c r="N15" s="24">
        <f>1+(2/PI())*ATAN(1.4*('Enter data'!D$32/H15)^2)</f>
        <v>1</v>
      </c>
      <c r="O15" s="1">
        <f t="shared" si="3"/>
        <v>4.0046068992051272E-2</v>
      </c>
      <c r="P15" s="1">
        <f t="shared" si="4"/>
        <v>0.27191313200800798</v>
      </c>
      <c r="Q15" s="16">
        <f>8.686*O15/2/'Enter data'!C$46</f>
        <v>3.4684193611477271E-3</v>
      </c>
      <c r="R15" s="16">
        <f>8.686*P15/2/'Enter data'!C$46</f>
        <v>2.3550595485266976E-2</v>
      </c>
      <c r="S15" s="16">
        <f t="shared" si="5"/>
        <v>1.0571870766726795E-3</v>
      </c>
      <c r="T15" s="16">
        <f t="shared" si="6"/>
        <v>7.1783087921442864E-3</v>
      </c>
      <c r="U15">
        <f t="shared" si="0"/>
        <v>0.31195920100005925</v>
      </c>
      <c r="V15">
        <f>U15/(2*'Enter data'!$C$46)</f>
        <v>3.1106395172017854E-3</v>
      </c>
      <c r="W15">
        <f t="shared" si="1"/>
        <v>2.7018641569672642E-2</v>
      </c>
      <c r="Y15" s="1"/>
      <c r="Z15" s="1">
        <f>4*PI()^2*D15*'Enter data'!$C$85*'Enter data'!$E$15*'Enter data'!$E$16/LN('Enter data'!$C$45)</f>
        <v>2.1718403828664866E-13</v>
      </c>
      <c r="AA15" s="16">
        <f>27.28753*'Enter data'!$E$15^0.5*'Enter data'!$E$16*D15/'Enter data'!$C$86</f>
        <v>4.7263929817004449E-11</v>
      </c>
      <c r="AB15" s="16">
        <f t="shared" ref="AB15:AB78" si="26">AA15/3.2808</f>
        <v>1.4406220987870168E-11</v>
      </c>
      <c r="AC15" s="19"/>
      <c r="AD15">
        <f>2*PI()/'Enter data'!$E$11/LN($C$3/$C$2)</f>
        <v>5.1880404392247992E-18</v>
      </c>
      <c r="AE15" s="14">
        <f>8.686*AD15*'Enter data'!$C$46/2</f>
        <v>1.1298253133715425E-15</v>
      </c>
      <c r="AF15" s="16">
        <f t="shared" si="7"/>
        <v>3.4437494311495441E-16</v>
      </c>
      <c r="AH15" s="1">
        <f t="shared" si="8"/>
        <v>2.7019014893679763E-2</v>
      </c>
      <c r="AI15" s="16">
        <f t="shared" si="9"/>
        <v>8.2354958832235314E-3</v>
      </c>
      <c r="AK15" s="1">
        <f t="shared" si="10"/>
        <v>2.3611646327142879E-3</v>
      </c>
      <c r="AL15" s="1">
        <f t="shared" si="11"/>
        <v>1.6032326933145831E-2</v>
      </c>
      <c r="AM15" s="1">
        <f t="shared" si="12"/>
        <v>1.8393491565860121E-2</v>
      </c>
      <c r="AN15" s="1">
        <f t="shared" si="13"/>
        <v>1.839349161312518E-2</v>
      </c>
      <c r="AP15" s="1">
        <f t="shared" si="14"/>
        <v>3.4684193611477271E-3</v>
      </c>
      <c r="AQ15" s="1">
        <f t="shared" si="15"/>
        <v>2.3550595485266976E-2</v>
      </c>
      <c r="AR15" s="1">
        <f t="shared" si="16"/>
        <v>2.7019014846414703E-2</v>
      </c>
      <c r="AS15" s="1">
        <f t="shared" si="17"/>
        <v>2.7019014893679763E-2</v>
      </c>
      <c r="AU15" s="1">
        <f t="shared" si="18"/>
        <v>3.1180222951877777E-3</v>
      </c>
      <c r="AV15" s="1">
        <f t="shared" si="19"/>
        <v>2.9260672866624805E-2</v>
      </c>
      <c r="AW15" s="1">
        <f t="shared" si="20"/>
        <v>3.2378695161812583E-2</v>
      </c>
      <c r="AX15" s="1">
        <f t="shared" si="21"/>
        <v>3.2378695209077643E-2</v>
      </c>
    </row>
    <row r="16" spans="2:50" x14ac:dyDescent="0.25">
      <c r="D16" s="1">
        <f>D15*'Enter data'!$C$77</f>
        <v>1.426628207820329</v>
      </c>
      <c r="E16">
        <f t="shared" si="2"/>
        <v>1.426628207820329E-9</v>
      </c>
      <c r="G16" s="1">
        <f t="shared" si="22"/>
        <v>5.4502032544301394E-2</v>
      </c>
      <c r="H16" s="1">
        <f t="shared" si="23"/>
        <v>5.4502032544301394E-2</v>
      </c>
      <c r="I16" s="1">
        <f t="shared" si="24"/>
        <v>4.1772654896957002E-7</v>
      </c>
      <c r="J16" s="1">
        <f t="shared" si="25"/>
        <v>6.1522526862057223E-8</v>
      </c>
      <c r="K16" s="1">
        <f>'Enter data'!$C$86/D16</f>
        <v>210140565.25493583</v>
      </c>
      <c r="L16" s="1"/>
      <c r="M16" s="24">
        <f>1+(2/PI())*ATAN(1.4*('Enter data'!C$32/G16)^2)</f>
        <v>1</v>
      </c>
      <c r="N16" s="24">
        <f>1+(2/PI())*ATAN(1.4*('Enter data'!D$32/H16)^2)</f>
        <v>1</v>
      </c>
      <c r="O16" s="1">
        <f t="shared" si="3"/>
        <v>4.0050123798137438E-2</v>
      </c>
      <c r="P16" s="1">
        <f t="shared" si="4"/>
        <v>0.27193291389853319</v>
      </c>
      <c r="Q16" s="16">
        <f>8.686*O16/2/'Enter data'!C$46</f>
        <v>3.4687705508721855E-3</v>
      </c>
      <c r="R16" s="16">
        <f>8.686*P16/2/'Enter data'!C$46</f>
        <v>2.3552308809291652E-2</v>
      </c>
      <c r="S16" s="16">
        <f t="shared" si="5"/>
        <v>1.0572941206023487E-3</v>
      </c>
      <c r="T16" s="16">
        <f t="shared" si="6"/>
        <v>7.1788310196572941E-3</v>
      </c>
      <c r="U16">
        <f t="shared" si="0"/>
        <v>0.31198303769667063</v>
      </c>
      <c r="V16">
        <f>U16/(2*'Enter data'!$C$46)</f>
        <v>3.1108772001109644E-3</v>
      </c>
      <c r="W16">
        <f t="shared" si="1"/>
        <v>2.7020706054899823E-2</v>
      </c>
      <c r="Y16" s="1"/>
      <c r="Z16" s="1">
        <f>4*PI()^2*D16*'Enter data'!$C$85*'Enter data'!$E$15*'Enter data'!$E$16/LN('Enter data'!$C$45)</f>
        <v>2.5940796542449336E-13</v>
      </c>
      <c r="AA16" s="16">
        <f>27.28753*'Enter data'!$E$15^0.5*'Enter data'!$E$16*D16/'Enter data'!$C$86</f>
        <v>5.6452766826322015E-11</v>
      </c>
      <c r="AB16" s="16">
        <f t="shared" si="26"/>
        <v>1.7207012565935751E-11</v>
      </c>
      <c r="AC16" s="19"/>
      <c r="AD16">
        <f>2*PI()/'Enter data'!$E$11/LN($C$3/$C$2)</f>
        <v>5.1880404392247992E-18</v>
      </c>
      <c r="AE16" s="14">
        <f>8.686*AD16*'Enter data'!$C$46/2</f>
        <v>1.1298253133715425E-15</v>
      </c>
      <c r="AF16" s="16">
        <f t="shared" si="7"/>
        <v>3.4437494311495441E-16</v>
      </c>
      <c r="AH16" s="1">
        <f t="shared" si="8"/>
        <v>2.7021079416617733E-2</v>
      </c>
      <c r="AI16" s="16">
        <f t="shared" si="9"/>
        <v>8.2361251574669999E-3</v>
      </c>
      <c r="AK16" s="1">
        <f t="shared" si="10"/>
        <v>2.3614037089822997E-3</v>
      </c>
      <c r="AL16" s="1">
        <f t="shared" si="11"/>
        <v>1.6033493297322194E-2</v>
      </c>
      <c r="AM16" s="1">
        <f t="shared" si="12"/>
        <v>1.8394897006304492E-2</v>
      </c>
      <c r="AN16" s="1">
        <f t="shared" si="13"/>
        <v>1.8394897062758389E-2</v>
      </c>
      <c r="AP16" s="1">
        <f t="shared" si="14"/>
        <v>3.4687705508721855E-3</v>
      </c>
      <c r="AQ16" s="1">
        <f t="shared" si="15"/>
        <v>2.3552308809291652E-2</v>
      </c>
      <c r="AR16" s="1">
        <f t="shared" si="16"/>
        <v>2.7021079360163836E-2</v>
      </c>
      <c r="AS16" s="1">
        <f t="shared" si="17"/>
        <v>2.7021079416617733E-2</v>
      </c>
      <c r="AU16" s="1">
        <f t="shared" si="18"/>
        <v>3.1183380059703228E-3</v>
      </c>
      <c r="AV16" s="1">
        <f t="shared" si="19"/>
        <v>2.9262801603192504E-2</v>
      </c>
      <c r="AW16" s="1">
        <f t="shared" si="20"/>
        <v>3.2381139609162828E-2</v>
      </c>
      <c r="AX16" s="1">
        <f t="shared" si="21"/>
        <v>3.2381139665616725E-2</v>
      </c>
    </row>
    <row r="17" spans="4:50" x14ac:dyDescent="0.25">
      <c r="D17" s="1">
        <f>D16*'Enter data'!$C$77</f>
        <v>1.7039867373651894</v>
      </c>
      <c r="E17">
        <f t="shared" si="2"/>
        <v>1.7039867373651894E-9</v>
      </c>
      <c r="G17" s="1">
        <f t="shared" si="22"/>
        <v>4.9869498058475528E-2</v>
      </c>
      <c r="H17" s="1">
        <f t="shared" si="23"/>
        <v>4.9869498058475528E-2</v>
      </c>
      <c r="I17" s="1">
        <f t="shared" si="24"/>
        <v>4.1768033004681053E-7</v>
      </c>
      <c r="J17" s="1">
        <f t="shared" si="25"/>
        <v>6.1517635834231733E-8</v>
      </c>
      <c r="K17" s="1">
        <f>'Enter data'!$C$86/D17</f>
        <v>175935910.43059281</v>
      </c>
      <c r="L17" s="1"/>
      <c r="M17" s="24">
        <f>1+(2/PI())*ATAN(1.4*('Enter data'!C$32/G17)^2)</f>
        <v>1</v>
      </c>
      <c r="N17" s="24">
        <f>1+(2/PI())*ATAN(1.4*('Enter data'!D$32/H17)^2)</f>
        <v>1</v>
      </c>
      <c r="O17" s="1">
        <f t="shared" si="3"/>
        <v>4.0054555593089639E-2</v>
      </c>
      <c r="P17" s="1">
        <f t="shared" si="4"/>
        <v>0.27195453422627347</v>
      </c>
      <c r="Q17" s="16">
        <f>8.686*O17/2/'Enter data'!C$46</f>
        <v>3.4691543918783999E-3</v>
      </c>
      <c r="R17" s="16">
        <f>8.686*P17/2/'Enter data'!C$46</f>
        <v>2.3554181361709808E-2</v>
      </c>
      <c r="S17" s="16">
        <f t="shared" si="5"/>
        <v>1.0574111167637162E-3</v>
      </c>
      <c r="T17" s="16">
        <f t="shared" si="6"/>
        <v>7.1794017805748012E-3</v>
      </c>
      <c r="U17">
        <f t="shared" si="0"/>
        <v>0.31200908981936309</v>
      </c>
      <c r="V17">
        <f>U17/(2*'Enter data'!$C$46)</f>
        <v>3.1111369737034547E-3</v>
      </c>
      <c r="W17">
        <f t="shared" si="1"/>
        <v>2.702296241715136E-2</v>
      </c>
      <c r="Y17" s="1"/>
      <c r="Z17" s="1">
        <f>4*PI()^2*D17*'Enter data'!$C$85*'Enter data'!$E$15*'Enter data'!$E$16/LN('Enter data'!$C$45)</f>
        <v>3.0984087530806326E-13</v>
      </c>
      <c r="AA17" s="16">
        <f>27.28753*'Enter data'!$E$15^0.5*'Enter data'!$E$16*D17/'Enter data'!$C$86</f>
        <v>6.7428055489378858E-11</v>
      </c>
      <c r="AB17" s="16">
        <f t="shared" si="26"/>
        <v>2.0552321229388824E-11</v>
      </c>
      <c r="AC17" s="19"/>
      <c r="AD17">
        <f>2*PI()/'Enter data'!$E$11/LN($C$3/$C$2)</f>
        <v>5.1880404392247992E-18</v>
      </c>
      <c r="AE17" s="14">
        <f>8.686*AD17*'Enter data'!$C$46/2</f>
        <v>1.1298253133715425E-15</v>
      </c>
      <c r="AF17" s="16">
        <f t="shared" si="7"/>
        <v>3.4437494311495441E-16</v>
      </c>
      <c r="AH17" s="1">
        <f t="shared" si="8"/>
        <v>2.7023335821017395E-2</v>
      </c>
      <c r="AI17" s="16">
        <f t="shared" si="9"/>
        <v>8.2368129178911828E-3</v>
      </c>
      <c r="AK17" s="1">
        <f t="shared" si="10"/>
        <v>2.361665012969531E-3</v>
      </c>
      <c r="AL17" s="1">
        <f t="shared" si="11"/>
        <v>1.6034768057978929E-2</v>
      </c>
      <c r="AM17" s="1">
        <f t="shared" si="12"/>
        <v>1.8396433070948459E-2</v>
      </c>
      <c r="AN17" s="1">
        <f t="shared" si="13"/>
        <v>1.8396433138377646E-2</v>
      </c>
      <c r="AP17" s="1">
        <f t="shared" si="14"/>
        <v>3.4691543918783999E-3</v>
      </c>
      <c r="AQ17" s="1">
        <f t="shared" si="15"/>
        <v>2.3554181361709808E-2</v>
      </c>
      <c r="AR17" s="1">
        <f t="shared" si="16"/>
        <v>2.7023335753588208E-2</v>
      </c>
      <c r="AS17" s="1">
        <f t="shared" si="17"/>
        <v>2.7023335821017395E-2</v>
      </c>
      <c r="AU17" s="1">
        <f t="shared" si="18"/>
        <v>3.1186830694388845E-3</v>
      </c>
      <c r="AV17" s="1">
        <f t="shared" si="19"/>
        <v>2.9265128174669967E-2</v>
      </c>
      <c r="AW17" s="1">
        <f t="shared" si="20"/>
        <v>3.238381124410885E-2</v>
      </c>
      <c r="AX17" s="1">
        <f t="shared" si="21"/>
        <v>3.2383811311538037E-2</v>
      </c>
    </row>
    <row r="18" spans="4:50" x14ac:dyDescent="0.25">
      <c r="D18" s="1">
        <f>D17*'Enter data'!$C$77</f>
        <v>2.0352680433486436</v>
      </c>
      <c r="E18">
        <f t="shared" si="2"/>
        <v>2.0352680433486435E-9</v>
      </c>
      <c r="G18" s="1">
        <f t="shared" si="22"/>
        <v>4.5630717250458322E-2</v>
      </c>
      <c r="H18" s="1">
        <f t="shared" si="23"/>
        <v>4.5630717250458322E-2</v>
      </c>
      <c r="I18" s="1">
        <f t="shared" si="24"/>
        <v>4.1762982535353611E-7</v>
      </c>
      <c r="J18" s="1">
        <f t="shared" si="25"/>
        <v>6.151229113069263E-8</v>
      </c>
      <c r="K18" s="1">
        <f>'Enter data'!$C$86/D18</f>
        <v>147298759.48268166</v>
      </c>
      <c r="L18" s="1"/>
      <c r="M18" s="24">
        <f>1+(2/PI())*ATAN(1.4*('Enter data'!C$32/G18)^2)</f>
        <v>1</v>
      </c>
      <c r="N18" s="24">
        <f>1+(2/PI())*ATAN(1.4*('Enter data'!D$32/H18)^2)</f>
        <v>1</v>
      </c>
      <c r="O18" s="1">
        <f t="shared" si="3"/>
        <v>4.0059399459407757E-2</v>
      </c>
      <c r="P18" s="1">
        <f t="shared" si="4"/>
        <v>0.27197816391612628</v>
      </c>
      <c r="Q18" s="16">
        <f>8.686*O18/2/'Enter data'!C$46</f>
        <v>3.4695739226873771E-3</v>
      </c>
      <c r="R18" s="16">
        <f>8.686*P18/2/'Enter data'!C$46</f>
        <v>2.3556227946451985E-2</v>
      </c>
      <c r="S18" s="16">
        <f t="shared" si="5"/>
        <v>1.0575389913092467E-3</v>
      </c>
      <c r="T18" s="16">
        <f t="shared" si="6"/>
        <v>7.1800255871897053E-3</v>
      </c>
      <c r="U18">
        <f t="shared" si="0"/>
        <v>0.31203756337553401</v>
      </c>
      <c r="V18">
        <f>U18/(2*'Enter data'!$C$46)</f>
        <v>3.1114208921413037E-3</v>
      </c>
      <c r="W18">
        <f t="shared" si="1"/>
        <v>2.7025428498632303E-2</v>
      </c>
      <c r="Y18" s="1"/>
      <c r="Z18" s="1">
        <f>4*PI()^2*D18*'Enter data'!$C$85*'Enter data'!$E$15*'Enter data'!$E$16/LN('Enter data'!$C$45)</f>
        <v>3.7007872080786289E-13</v>
      </c>
      <c r="AA18" s="16">
        <f>27.28753*'Enter data'!$E$15^0.5*'Enter data'!$E$16*D18/'Enter data'!$C$86</f>
        <v>8.0537109563934705E-11</v>
      </c>
      <c r="AB18" s="16">
        <f t="shared" si="26"/>
        <v>2.4548009498882802E-11</v>
      </c>
      <c r="AC18" s="19"/>
      <c r="AD18">
        <f>2*PI()/'Enter data'!$E$11/LN($C$3/$C$2)</f>
        <v>5.1880404392247992E-18</v>
      </c>
      <c r="AE18" s="14">
        <f>8.686*AD18*'Enter data'!$C$46/2</f>
        <v>1.1298253133715425E-15</v>
      </c>
      <c r="AF18" s="16">
        <f t="shared" si="7"/>
        <v>3.4437494311495441E-16</v>
      </c>
      <c r="AH18" s="1">
        <f t="shared" si="8"/>
        <v>2.7025801949677603E-2</v>
      </c>
      <c r="AI18" s="16">
        <f t="shared" si="9"/>
        <v>8.2375646030473058E-3</v>
      </c>
      <c r="AK18" s="1">
        <f t="shared" si="10"/>
        <v>2.3619506131825813E-3</v>
      </c>
      <c r="AL18" s="1">
        <f t="shared" si="11"/>
        <v>1.6036161293054598E-2</v>
      </c>
      <c r="AM18" s="1">
        <f t="shared" si="12"/>
        <v>1.8398111906237181E-2</v>
      </c>
      <c r="AN18" s="1">
        <f t="shared" si="13"/>
        <v>1.839811198677542E-2</v>
      </c>
      <c r="AP18" s="1">
        <f t="shared" si="14"/>
        <v>3.4695739226873771E-3</v>
      </c>
      <c r="AQ18" s="1">
        <f t="shared" si="15"/>
        <v>2.3556227946451985E-2</v>
      </c>
      <c r="AR18" s="1">
        <f t="shared" si="16"/>
        <v>2.7025801869139363E-2</v>
      </c>
      <c r="AS18" s="1">
        <f t="shared" si="17"/>
        <v>2.7025801949677603E-2</v>
      </c>
      <c r="AU18" s="1">
        <f t="shared" si="18"/>
        <v>3.1190602171478846E-3</v>
      </c>
      <c r="AV18" s="1">
        <f t="shared" si="19"/>
        <v>2.9267670974348733E-2</v>
      </c>
      <c r="AW18" s="1">
        <f t="shared" si="20"/>
        <v>3.2386731191496619E-2</v>
      </c>
      <c r="AX18" s="1">
        <f t="shared" si="21"/>
        <v>3.2386731272034862E-2</v>
      </c>
    </row>
    <row r="19" spans="4:50" x14ac:dyDescent="0.25">
      <c r="D19" s="1">
        <f>D18*'Enter data'!$C$77</f>
        <v>2.4309555452769098</v>
      </c>
      <c r="E19">
        <f t="shared" si="2"/>
        <v>2.4309555452769098E-9</v>
      </c>
      <c r="G19" s="1">
        <f t="shared" si="22"/>
        <v>4.175222205665257E-2</v>
      </c>
      <c r="H19" s="1">
        <f t="shared" si="23"/>
        <v>4.175222205665257E-2</v>
      </c>
      <c r="I19" s="1">
        <f t="shared" si="24"/>
        <v>4.1757463824932684E-7</v>
      </c>
      <c r="J19" s="1">
        <f t="shared" si="25"/>
        <v>6.1506450738985914E-8</v>
      </c>
      <c r="K19" s="1">
        <f>'Enter data'!$C$86/D19</f>
        <v>123322887.81769997</v>
      </c>
      <c r="L19" s="1"/>
      <c r="M19" s="24">
        <f>1+(2/PI())*ATAN(1.4*('Enter data'!C$32/G19)^2)</f>
        <v>1</v>
      </c>
      <c r="N19" s="24">
        <f>1+(2/PI())*ATAN(1.4*('Enter data'!D$32/H19)^2)</f>
        <v>1</v>
      </c>
      <c r="O19" s="1">
        <f t="shared" si="3"/>
        <v>4.0064693751852808E-2</v>
      </c>
      <c r="P19" s="1">
        <f t="shared" si="4"/>
        <v>0.27200398980908319</v>
      </c>
      <c r="Q19" s="16">
        <f>8.686*O19/2/'Enter data'!C$46</f>
        <v>3.4700324652330544E-3</v>
      </c>
      <c r="R19" s="16">
        <f>8.686*P19/2/'Enter data'!C$46</f>
        <v>2.3558464745953293E-2</v>
      </c>
      <c r="S19" s="16">
        <f t="shared" si="5"/>
        <v>1.0576787567767173E-3</v>
      </c>
      <c r="T19" s="16">
        <f t="shared" si="6"/>
        <v>7.1807073719682068E-3</v>
      </c>
      <c r="U19">
        <f t="shared" si="0"/>
        <v>0.31206868356093598</v>
      </c>
      <c r="V19">
        <f>U19/(2*'Enter data'!$C$46)</f>
        <v>3.1117312009194503E-3</v>
      </c>
      <c r="W19">
        <f t="shared" si="1"/>
        <v>2.7028123803442234E-2</v>
      </c>
      <c r="Y19" s="1"/>
      <c r="Z19" s="1">
        <f>4*PI()^2*D19*'Enter data'!$C$85*'Enter data'!$E$15*'Enter data'!$E$16/LN('Enter data'!$C$45)</f>
        <v>4.4202773265022436E-13</v>
      </c>
      <c r="AA19" s="16">
        <f>27.28753*'Enter data'!$E$15^0.5*'Enter data'!$E$16*D19/'Enter data'!$C$86</f>
        <v>9.6194765959622268E-11</v>
      </c>
      <c r="AB19" s="16">
        <f t="shared" si="26"/>
        <v>2.9320521202030682E-11</v>
      </c>
      <c r="AC19" s="19"/>
      <c r="AD19">
        <f>2*PI()/'Enter data'!$E$11/LN($C$3/$C$2)</f>
        <v>5.1880404392247992E-18</v>
      </c>
      <c r="AE19" s="14">
        <f>8.686*AD19*'Enter data'!$C$46/2</f>
        <v>1.1298253133715425E-15</v>
      </c>
      <c r="AF19" s="16">
        <f t="shared" si="7"/>
        <v>3.4437494311495441E-16</v>
      </c>
      <c r="AH19" s="1">
        <f t="shared" si="8"/>
        <v>2.7028497307382247E-2</v>
      </c>
      <c r="AI19" s="16">
        <f t="shared" si="9"/>
        <v>8.2383861580657899E-3</v>
      </c>
      <c r="AK19" s="1">
        <f t="shared" si="10"/>
        <v>2.362262771064519E-3</v>
      </c>
      <c r="AL19" s="1">
        <f t="shared" si="11"/>
        <v>1.6037684018919907E-2</v>
      </c>
      <c r="AM19" s="1">
        <f t="shared" si="12"/>
        <v>1.8399946789984425E-2</v>
      </c>
      <c r="AN19" s="1">
        <f t="shared" si="13"/>
        <v>1.8399946886180324E-2</v>
      </c>
      <c r="AP19" s="1">
        <f t="shared" si="14"/>
        <v>3.4700324652330544E-3</v>
      </c>
      <c r="AQ19" s="1">
        <f t="shared" si="15"/>
        <v>2.3558464745953293E-2</v>
      </c>
      <c r="AR19" s="1">
        <f t="shared" si="16"/>
        <v>2.7028497211186348E-2</v>
      </c>
      <c r="AS19" s="1">
        <f t="shared" si="17"/>
        <v>2.7028497307382247E-2</v>
      </c>
      <c r="AU19" s="1">
        <f t="shared" si="18"/>
        <v>3.1194724354328849E-3</v>
      </c>
      <c r="AV19" s="1">
        <f t="shared" si="19"/>
        <v>2.9270450108257125E-2</v>
      </c>
      <c r="AW19" s="1">
        <f t="shared" si="20"/>
        <v>3.2389922543690011E-2</v>
      </c>
      <c r="AX19" s="1">
        <f t="shared" si="21"/>
        <v>3.238992263988591E-2</v>
      </c>
    </row>
    <row r="20" spans="4:50" x14ac:dyDescent="0.25">
      <c r="D20" s="1">
        <f>D19*'Enter data'!$C$77</f>
        <v>2.9035708011164632</v>
      </c>
      <c r="E20">
        <f t="shared" si="2"/>
        <v>2.903570801116463E-9</v>
      </c>
      <c r="G20" s="1">
        <f t="shared" si="22"/>
        <v>3.8203389113952976E-2</v>
      </c>
      <c r="H20" s="1">
        <f t="shared" si="23"/>
        <v>3.8203389113952976E-2</v>
      </c>
      <c r="I20" s="1">
        <f t="shared" si="24"/>
        <v>4.1751433554653079E-7</v>
      </c>
      <c r="J20" s="1">
        <f t="shared" si="25"/>
        <v>6.1500068765409487E-8</v>
      </c>
      <c r="K20" s="1">
        <f>'Enter data'!$C$86/D20</f>
        <v>103249577.34274144</v>
      </c>
      <c r="L20" s="1"/>
      <c r="M20" s="24">
        <f>1+(2/PI())*ATAN(1.4*('Enter data'!C$32/G20)^2)</f>
        <v>1</v>
      </c>
      <c r="N20" s="24">
        <f>1+(2/PI())*ATAN(1.4*('Enter data'!D$32/H20)^2)</f>
        <v>1</v>
      </c>
      <c r="O20" s="1">
        <f t="shared" si="3"/>
        <v>4.00704804018292E-2</v>
      </c>
      <c r="P20" s="1">
        <f t="shared" si="4"/>
        <v>0.27203221615598805</v>
      </c>
      <c r="Q20" s="16">
        <f>8.686*O20/2/'Enter data'!C$46</f>
        <v>3.4705336512250748E-3</v>
      </c>
      <c r="R20" s="16">
        <f>8.686*P20/2/'Enter data'!C$46</f>
        <v>2.3560909450528883E-2</v>
      </c>
      <c r="S20" s="16">
        <f t="shared" si="5"/>
        <v>1.0578315201246874E-3</v>
      </c>
      <c r="T20" s="16">
        <f t="shared" si="6"/>
        <v>7.1814525269839309E-3</v>
      </c>
      <c r="U20">
        <f t="shared" si="0"/>
        <v>0.31210269655781725</v>
      </c>
      <c r="V20">
        <f>U20/(2*'Enter data'!$C$46)</f>
        <v>3.1120703547955282E-3</v>
      </c>
      <c r="W20">
        <f t="shared" si="1"/>
        <v>2.7031069653311379E-2</v>
      </c>
      <c r="Y20" s="1"/>
      <c r="Z20" s="1">
        <f>4*PI()^2*D20*'Enter data'!$C$85*'Enter data'!$E$15*'Enter data'!$E$16/LN('Enter data'!$C$45)</f>
        <v>5.2796474221856124E-13</v>
      </c>
      <c r="AA20" s="16">
        <f>27.28753*'Enter data'!$E$15^0.5*'Enter data'!$E$16*D20/'Enter data'!$C$86</f>
        <v>1.1489651228022564E-10</v>
      </c>
      <c r="AB20" s="16">
        <f t="shared" si="26"/>
        <v>3.5020882796947585E-11</v>
      </c>
      <c r="AC20" s="19"/>
      <c r="AD20">
        <f>2*PI()/'Enter data'!$E$11/LN($C$3/$C$2)</f>
        <v>5.1880404392247992E-18</v>
      </c>
      <c r="AE20" s="14">
        <f>8.686*AD20*'Enter data'!$C$46/2</f>
        <v>1.1298253133715425E-15</v>
      </c>
      <c r="AF20" s="16">
        <f t="shared" si="7"/>
        <v>3.4437494311495441E-16</v>
      </c>
      <c r="AH20" s="1">
        <f t="shared" si="8"/>
        <v>2.7031443216651602E-2</v>
      </c>
      <c r="AI20" s="16">
        <f t="shared" si="9"/>
        <v>8.2392840821298458E-3</v>
      </c>
      <c r="AK20" s="1">
        <f t="shared" si="10"/>
        <v>2.3626039589416331E-3</v>
      </c>
      <c r="AL20" s="1">
        <f t="shared" si="11"/>
        <v>1.6039348278451493E-2</v>
      </c>
      <c r="AM20" s="1">
        <f t="shared" si="12"/>
        <v>1.8401952237393125E-2</v>
      </c>
      <c r="AN20" s="1">
        <f t="shared" si="13"/>
        <v>1.8401952352290769E-2</v>
      </c>
      <c r="AP20" s="1">
        <f t="shared" si="14"/>
        <v>3.4705336512250748E-3</v>
      </c>
      <c r="AQ20" s="1">
        <f t="shared" si="15"/>
        <v>2.3560909450528883E-2</v>
      </c>
      <c r="AR20" s="1">
        <f t="shared" si="16"/>
        <v>2.7031443101753958E-2</v>
      </c>
      <c r="AS20" s="1">
        <f t="shared" si="17"/>
        <v>2.7031443216651602E-2</v>
      </c>
      <c r="AU20" s="1">
        <f t="shared" si="18"/>
        <v>3.1199229891100615E-3</v>
      </c>
      <c r="AV20" s="1">
        <f t="shared" si="19"/>
        <v>2.9273487555904115E-2</v>
      </c>
      <c r="AW20" s="1">
        <f t="shared" si="20"/>
        <v>3.2393410545014177E-2</v>
      </c>
      <c r="AX20" s="1">
        <f t="shared" si="21"/>
        <v>3.2393410659911817E-2</v>
      </c>
    </row>
    <row r="21" spans="4:50" x14ac:dyDescent="0.25">
      <c r="D21" s="1">
        <f>D20*'Enter data'!$C$77</f>
        <v>3.4680697528492881</v>
      </c>
      <c r="E21">
        <f t="shared" si="2"/>
        <v>3.4680697528492881E-9</v>
      </c>
      <c r="G21" s="1">
        <f t="shared" si="22"/>
        <v>3.4956197967421755E-2</v>
      </c>
      <c r="H21" s="1">
        <f t="shared" si="23"/>
        <v>3.4956197967421755E-2</v>
      </c>
      <c r="I21" s="1">
        <f t="shared" si="24"/>
        <v>4.1744844415971663E-7</v>
      </c>
      <c r="J21" s="1">
        <f t="shared" si="25"/>
        <v>6.1493095086503181E-8</v>
      </c>
      <c r="K21" s="1">
        <f>'Enter data'!$C$86/D21</f>
        <v>86443606.779735982</v>
      </c>
      <c r="L21" s="1"/>
      <c r="M21" s="24">
        <f>1+(2/PI())*ATAN(1.4*('Enter data'!C$32/G21)^2)</f>
        <v>1</v>
      </c>
      <c r="N21" s="24">
        <f>1+(2/PI())*ATAN(1.4*('Enter data'!D$32/H21)^2)</f>
        <v>1</v>
      </c>
      <c r="O21" s="1">
        <f t="shared" si="3"/>
        <v>4.0076805253582572E-2</v>
      </c>
      <c r="P21" s="1">
        <f t="shared" si="4"/>
        <v>0.27206306621037174</v>
      </c>
      <c r="Q21" s="16">
        <f>8.686*O21/2/'Enter data'!C$46</f>
        <v>3.4710814512671248E-3</v>
      </c>
      <c r="R21" s="16">
        <f>8.686*P21/2/'Enter data'!C$46</f>
        <v>2.3563581396330555E-2</v>
      </c>
      <c r="S21" s="16">
        <f t="shared" si="5"/>
        <v>1.0579984916078776E-3</v>
      </c>
      <c r="T21" s="16">
        <f t="shared" si="6"/>
        <v>7.1822669459676155E-3</v>
      </c>
      <c r="U21">
        <f t="shared" si="0"/>
        <v>0.31213987146395433</v>
      </c>
      <c r="V21">
        <f>U21/(2*'Enter data'!$C$46)</f>
        <v>3.1124410370248312E-3</v>
      </c>
      <c r="W21">
        <f t="shared" si="1"/>
        <v>2.7034289354673238E-2</v>
      </c>
      <c r="Y21" s="1"/>
      <c r="Z21" s="1">
        <f>4*PI()^2*D21*'Enter data'!$C$85*'Enter data'!$E$15*'Enter data'!$E$16/LN('Enter data'!$C$45)</f>
        <v>6.3060923203767298E-13</v>
      </c>
      <c r="AA21" s="16">
        <f>27.28753*'Enter data'!$E$15^0.5*'Enter data'!$E$16*D21/'Enter data'!$C$86</f>
        <v>1.3723416656267189E-10</v>
      </c>
      <c r="AB21" s="16">
        <f t="shared" si="26"/>
        <v>4.182948261481099E-11</v>
      </c>
      <c r="AC21" s="19"/>
      <c r="AD21">
        <f>2*PI()/'Enter data'!$E$11/LN($C$3/$C$2)</f>
        <v>5.1880404392247992E-18</v>
      </c>
      <c r="AE21" s="14">
        <f>8.686*AD21*'Enter data'!$C$46/2</f>
        <v>1.1298253133715425E-15</v>
      </c>
      <c r="AF21" s="16">
        <f t="shared" si="7"/>
        <v>3.4437494311495441E-16</v>
      </c>
      <c r="AH21" s="1">
        <f t="shared" si="8"/>
        <v>2.7034662984832977E-2</v>
      </c>
      <c r="AI21" s="16">
        <f t="shared" si="9"/>
        <v>8.2402654794053211E-3</v>
      </c>
      <c r="AK21" s="1">
        <f t="shared" si="10"/>
        <v>2.362976879846059E-3</v>
      </c>
      <c r="AL21" s="1">
        <f t="shared" si="11"/>
        <v>1.6041167234947383E-2</v>
      </c>
      <c r="AM21" s="1">
        <f t="shared" si="12"/>
        <v>1.8404144114793443E-2</v>
      </c>
      <c r="AN21" s="1">
        <f t="shared" si="13"/>
        <v>1.8404144252028739E-2</v>
      </c>
      <c r="AP21" s="1">
        <f t="shared" si="14"/>
        <v>3.4710814512671248E-3</v>
      </c>
      <c r="AQ21" s="1">
        <f t="shared" si="15"/>
        <v>2.3563581396330555E-2</v>
      </c>
      <c r="AR21" s="1">
        <f t="shared" si="16"/>
        <v>2.7034662847597681E-2</v>
      </c>
      <c r="AS21" s="1">
        <f t="shared" si="17"/>
        <v>2.7034662984832977E-2</v>
      </c>
      <c r="AU21" s="1">
        <f t="shared" si="18"/>
        <v>3.1204154476528632E-3</v>
      </c>
      <c r="AV21" s="1">
        <f t="shared" si="19"/>
        <v>2.9276807341684859E-2</v>
      </c>
      <c r="AW21" s="1">
        <f t="shared" si="20"/>
        <v>3.2397222789337723E-2</v>
      </c>
      <c r="AX21" s="1">
        <f t="shared" si="21"/>
        <v>3.2397222926573023E-2</v>
      </c>
    </row>
    <row r="22" spans="4:50" x14ac:dyDescent="0.25">
      <c r="D22" s="1">
        <f>D21*'Enter data'!$C$77</f>
        <v>4.1423160082762163</v>
      </c>
      <c r="E22">
        <f t="shared" si="2"/>
        <v>4.1423160082762164E-9</v>
      </c>
      <c r="G22" s="1">
        <f t="shared" si="22"/>
        <v>3.1985009829698464E-2</v>
      </c>
      <c r="H22" s="1">
        <f t="shared" si="23"/>
        <v>3.1985009829698464E-2</v>
      </c>
      <c r="I22" s="1">
        <f t="shared" si="24"/>
        <v>4.1737644746595449E-7</v>
      </c>
      <c r="J22" s="1">
        <f t="shared" si="25"/>
        <v>6.1485474957586374E-8</v>
      </c>
      <c r="K22" s="1">
        <f>'Enter data'!$C$86/D22</f>
        <v>72373150.044811681</v>
      </c>
      <c r="L22" s="1"/>
      <c r="M22" s="24">
        <f>1+(2/PI())*ATAN(1.4*('Enter data'!C$32/G22)^2)</f>
        <v>1</v>
      </c>
      <c r="N22" s="24">
        <f>1+(2/PI())*ATAN(1.4*('Enter data'!D$32/H22)^2)</f>
        <v>1</v>
      </c>
      <c r="O22" s="1">
        <f t="shared" si="3"/>
        <v>4.0083718431104504E-2</v>
      </c>
      <c r="P22" s="1">
        <f t="shared" si="4"/>
        <v>0.27209678402160203</v>
      </c>
      <c r="Q22" s="16">
        <f>8.686*O22/2/'Enter data'!C$46</f>
        <v>3.4716802066348212E-3</v>
      </c>
      <c r="R22" s="16">
        <f>8.686*P22/2/'Enter data'!C$46</f>
        <v>2.3566501720652774E-2</v>
      </c>
      <c r="S22" s="16">
        <f t="shared" si="5"/>
        <v>1.0581809944631862E-3</v>
      </c>
      <c r="T22" s="16">
        <f t="shared" si="6"/>
        <v>7.1831570716449564E-3</v>
      </c>
      <c r="U22">
        <f t="shared" si="0"/>
        <v>0.31218050245270657</v>
      </c>
      <c r="V22">
        <f>U22/(2*'Enter data'!$C$46)</f>
        <v>3.1128461808988717E-3</v>
      </c>
      <c r="W22">
        <f t="shared" si="1"/>
        <v>2.703780838574589E-2</v>
      </c>
      <c r="Y22" s="1"/>
      <c r="Z22" s="1">
        <f>4*PI()^2*D22*'Enter data'!$C$85*'Enter data'!$E$15*'Enter data'!$E$16/LN('Enter data'!$C$45)</f>
        <v>7.5320939398358808E-13</v>
      </c>
      <c r="AA22" s="16">
        <f>27.28753*'Enter data'!$E$15^0.5*'Enter data'!$E$16*D22/'Enter data'!$C$86</f>
        <v>1.6391460539914473E-10</v>
      </c>
      <c r="AB22" s="16">
        <f t="shared" si="26"/>
        <v>4.9961779260895125E-11</v>
      </c>
      <c r="AC22" s="19"/>
      <c r="AD22">
        <f>2*PI()/'Enter data'!$E$11/LN($C$3/$C$2)</f>
        <v>5.1880404392247992E-18</v>
      </c>
      <c r="AE22" s="14">
        <f>8.686*AD22*'Enter data'!$C$46/2</f>
        <v>1.1298253133715425E-15</v>
      </c>
      <c r="AF22" s="16">
        <f t="shared" si="7"/>
        <v>3.4437494311495441E-16</v>
      </c>
      <c r="AH22" s="1">
        <f t="shared" si="8"/>
        <v>2.703818209120333E-2</v>
      </c>
      <c r="AI22" s="16">
        <f t="shared" si="9"/>
        <v>8.2413381160702653E-3</v>
      </c>
      <c r="AK22" s="1">
        <f t="shared" si="10"/>
        <v>2.3633844891489271E-3</v>
      </c>
      <c r="AL22" s="1">
        <f t="shared" si="11"/>
        <v>1.6043155277853303E-2</v>
      </c>
      <c r="AM22" s="1">
        <f t="shared" si="12"/>
        <v>1.8406539767002229E-2</v>
      </c>
      <c r="AN22" s="1">
        <f t="shared" si="13"/>
        <v>1.8406539930917964E-2</v>
      </c>
      <c r="AP22" s="1">
        <f t="shared" si="14"/>
        <v>3.4716802066348212E-3</v>
      </c>
      <c r="AQ22" s="1">
        <f t="shared" si="15"/>
        <v>2.3566501720652774E-2</v>
      </c>
      <c r="AR22" s="1">
        <f t="shared" si="16"/>
        <v>2.7038181927287595E-2</v>
      </c>
      <c r="AS22" s="1">
        <f t="shared" si="17"/>
        <v>2.703818209120333E-2</v>
      </c>
      <c r="AU22" s="1">
        <f t="shared" si="18"/>
        <v>3.1209537137595381E-3</v>
      </c>
      <c r="AV22" s="1">
        <f t="shared" si="19"/>
        <v>2.9280435727842242E-2</v>
      </c>
      <c r="AW22" s="1">
        <f t="shared" si="20"/>
        <v>3.2401389441601779E-2</v>
      </c>
      <c r="AX22" s="1">
        <f t="shared" si="21"/>
        <v>3.2401389605517514E-2</v>
      </c>
    </row>
    <row r="23" spans="4:50" x14ac:dyDescent="0.25">
      <c r="D23" s="1">
        <f>D22*'Enter data'!$C$77</f>
        <v>4.9476461361032706</v>
      </c>
      <c r="E23">
        <f t="shared" si="2"/>
        <v>4.947646136103271E-9</v>
      </c>
      <c r="G23" s="1">
        <f t="shared" si="22"/>
        <v>2.9266365145298526E-2</v>
      </c>
      <c r="H23" s="1">
        <f t="shared" si="23"/>
        <v>2.9266365145298526E-2</v>
      </c>
      <c r="I23" s="1">
        <f t="shared" si="24"/>
        <v>4.1729778134192778E-7</v>
      </c>
      <c r="J23" s="1">
        <f t="shared" si="25"/>
        <v>6.1477148591050944E-8</v>
      </c>
      <c r="K23" s="1">
        <f>'Enter data'!$C$86/D23</f>
        <v>60592946.575624406</v>
      </c>
      <c r="L23" s="1"/>
      <c r="M23" s="24">
        <f>1+(2/PI())*ATAN(1.4*('Enter data'!C$32/G23)^2)</f>
        <v>1</v>
      </c>
      <c r="N23" s="24">
        <f>1+(2/PI())*ATAN(1.4*('Enter data'!D$32/H23)^2)</f>
        <v>1</v>
      </c>
      <c r="O23" s="1">
        <f t="shared" si="3"/>
        <v>4.0091274739588616E-2</v>
      </c>
      <c r="P23" s="1">
        <f t="shared" si="4"/>
        <v>0.27213363637420457</v>
      </c>
      <c r="Q23" s="16">
        <f>8.686*O23/2/'Enter data'!C$46</f>
        <v>3.4723346640461164E-3</v>
      </c>
      <c r="R23" s="16">
        <f>8.686*P23/2/'Enter data'!C$46</f>
        <v>2.3569693529898666E-2</v>
      </c>
      <c r="S23" s="16">
        <f t="shared" si="5"/>
        <v>1.0583804755078384E-3</v>
      </c>
      <c r="T23" s="16">
        <f t="shared" si="6"/>
        <v>7.1841299469332679E-3</v>
      </c>
      <c r="U23">
        <f t="shared" si="0"/>
        <v>0.31222491111379319</v>
      </c>
      <c r="V23">
        <f>U23/(2*'Enter data'!$C$46)</f>
        <v>3.1132889930859755E-3</v>
      </c>
      <c r="W23">
        <f t="shared" si="1"/>
        <v>2.7041654599265611E-2</v>
      </c>
      <c r="Y23" s="1"/>
      <c r="Z23" s="1">
        <f>4*PI()^2*D23*'Enter data'!$C$85*'Enter data'!$E$15*'Enter data'!$E$16/LN('Enter data'!$C$45)</f>
        <v>8.9964491853685943E-13</v>
      </c>
      <c r="AA23" s="16">
        <f>27.28753*'Enter data'!$E$15^0.5*'Enter data'!$E$16*D23/'Enter data'!$C$86</f>
        <v>1.9578213309502109E-10</v>
      </c>
      <c r="AB23" s="16">
        <f t="shared" si="26"/>
        <v>5.9675119816819401E-11</v>
      </c>
      <c r="AC23" s="19"/>
      <c r="AD23">
        <f>2*PI()/'Enter data'!$E$11/LN($C$3/$C$2)</f>
        <v>5.1880404392247992E-18</v>
      </c>
      <c r="AE23" s="14">
        <f>8.686*AD23*'Enter data'!$C$46/2</f>
        <v>1.1298253133715425E-15</v>
      </c>
      <c r="AF23" s="16">
        <f t="shared" si="7"/>
        <v>3.4437494311495441E-16</v>
      </c>
      <c r="AH23" s="1">
        <f t="shared" si="8"/>
        <v>2.7042028389728048E-2</v>
      </c>
      <c r="AI23" s="16">
        <f t="shared" si="9"/>
        <v>8.2425104821165704E-3</v>
      </c>
      <c r="AK23" s="1">
        <f t="shared" si="10"/>
        <v>2.3638300182306981E-3</v>
      </c>
      <c r="AL23" s="1">
        <f t="shared" si="11"/>
        <v>1.6045328137107344E-2</v>
      </c>
      <c r="AM23" s="1">
        <f t="shared" si="12"/>
        <v>1.8409158155338043E-2</v>
      </c>
      <c r="AN23" s="1">
        <f t="shared" si="13"/>
        <v>1.8409158351121307E-2</v>
      </c>
      <c r="AP23" s="1">
        <f t="shared" si="14"/>
        <v>3.4723346640461164E-3</v>
      </c>
      <c r="AQ23" s="1">
        <f t="shared" si="15"/>
        <v>2.3569693529898666E-2</v>
      </c>
      <c r="AR23" s="1">
        <f t="shared" si="16"/>
        <v>2.7042028193944783E-2</v>
      </c>
      <c r="AS23" s="1">
        <f t="shared" si="17"/>
        <v>2.7042028389728048E-2</v>
      </c>
      <c r="AU23" s="1">
        <f t="shared" si="18"/>
        <v>3.1215420546108572E-3</v>
      </c>
      <c r="AV23" s="1">
        <f t="shared" si="19"/>
        <v>2.9284401423157892E-2</v>
      </c>
      <c r="AW23" s="1">
        <f t="shared" si="20"/>
        <v>3.2405943477768748E-2</v>
      </c>
      <c r="AX23" s="1">
        <f t="shared" si="21"/>
        <v>3.2405943673552012E-2</v>
      </c>
    </row>
    <row r="24" spans="4:50" x14ac:dyDescent="0.25">
      <c r="D24" s="1">
        <f>D23*'Enter data'!$C$77</f>
        <v>5.9095448631125569</v>
      </c>
      <c r="E24">
        <f t="shared" si="2"/>
        <v>5.9095448631125566E-9</v>
      </c>
      <c r="G24" s="1">
        <f t="shared" si="22"/>
        <v>2.6778798361432894E-2</v>
      </c>
      <c r="H24" s="1">
        <f t="shared" si="23"/>
        <v>2.6778798361432894E-2</v>
      </c>
      <c r="I24" s="1">
        <f t="shared" si="24"/>
        <v>4.1721182984686686E-7</v>
      </c>
      <c r="J24" s="1">
        <f t="shared" si="25"/>
        <v>6.1468050697343989E-8</v>
      </c>
      <c r="K24" s="1">
        <f>'Enter data'!$C$86/D24</f>
        <v>50730211.030515693</v>
      </c>
      <c r="L24" s="1"/>
      <c r="M24" s="24">
        <f>1+(2/PI())*ATAN(1.4*('Enter data'!C$32/G24)^2)</f>
        <v>1</v>
      </c>
      <c r="N24" s="24">
        <f>1+(2/PI())*ATAN(1.4*('Enter data'!D$32/H24)^2)</f>
        <v>1</v>
      </c>
      <c r="O24" s="1">
        <f t="shared" si="3"/>
        <v>4.009953410511051E-2</v>
      </c>
      <c r="P24" s="1">
        <f t="shared" si="4"/>
        <v>0.27217391490703152</v>
      </c>
      <c r="Q24" s="16">
        <f>8.686*O24/2/'Enter data'!C$46</f>
        <v>3.4730500137423034E-3</v>
      </c>
      <c r="R24" s="16">
        <f>8.686*P24/2/'Enter data'!C$46</f>
        <v>2.3573182083122791E-2</v>
      </c>
      <c r="S24" s="16">
        <f t="shared" si="5"/>
        <v>1.0585985167466177E-3</v>
      </c>
      <c r="T24" s="16">
        <f t="shared" si="6"/>
        <v>7.1851932708860006E-3</v>
      </c>
      <c r="U24">
        <f t="shared" si="0"/>
        <v>0.31227344901214205</v>
      </c>
      <c r="V24">
        <f>U24/(2*'Enter data'!$C$46)</f>
        <v>3.1137729791463381E-3</v>
      </c>
      <c r="W24">
        <f t="shared" si="1"/>
        <v>2.7045858444107593E-2</v>
      </c>
      <c r="Y24" s="1"/>
      <c r="Z24" s="1">
        <f>4*PI()^2*D24*'Enter data'!$C$85*'Enter data'!$E$15*'Enter data'!$E$16/LN('Enter data'!$C$45)</f>
        <v>1.074549767852242E-12</v>
      </c>
      <c r="AA24" s="16">
        <f>27.28753*'Enter data'!$E$15^0.5*'Enter data'!$E$16*D24/'Enter data'!$C$86</f>
        <v>2.3384519973615823E-10</v>
      </c>
      <c r="AB24" s="16">
        <f t="shared" si="26"/>
        <v>7.1276883606485674E-11</v>
      </c>
      <c r="AC24" s="19"/>
      <c r="AD24">
        <f>2*PI()/'Enter data'!$E$11/LN($C$3/$C$2)</f>
        <v>5.1880404392247992E-18</v>
      </c>
      <c r="AE24" s="14">
        <f>8.686*AD24*'Enter data'!$C$46/2</f>
        <v>1.1298253133715425E-15</v>
      </c>
      <c r="AF24" s="16">
        <f t="shared" si="7"/>
        <v>3.4437494311495441E-16</v>
      </c>
      <c r="AH24" s="1">
        <f t="shared" si="8"/>
        <v>2.7046232330711427E-2</v>
      </c>
      <c r="AI24" s="16">
        <f t="shared" si="9"/>
        <v>8.2437918589098463E-3</v>
      </c>
      <c r="AK24" s="1">
        <f t="shared" si="10"/>
        <v>2.3643170004052239E-3</v>
      </c>
      <c r="AL24" s="1">
        <f t="shared" si="11"/>
        <v>1.6047703008088752E-2</v>
      </c>
      <c r="AM24" s="1">
        <f t="shared" si="12"/>
        <v>1.8412020008493978E-2</v>
      </c>
      <c r="AN24" s="1">
        <f t="shared" si="13"/>
        <v>1.8412020242340309E-2</v>
      </c>
      <c r="AP24" s="1">
        <f t="shared" si="14"/>
        <v>3.4730500137423034E-3</v>
      </c>
      <c r="AQ24" s="1">
        <f t="shared" si="15"/>
        <v>2.3573182083122791E-2</v>
      </c>
      <c r="AR24" s="1">
        <f t="shared" si="16"/>
        <v>2.7046232096865096E-2</v>
      </c>
      <c r="AS24" s="1">
        <f t="shared" si="17"/>
        <v>2.7046232330711427E-2</v>
      </c>
      <c r="AU24" s="1">
        <f t="shared" si="18"/>
        <v>3.122185136103987E-3</v>
      </c>
      <c r="AV24" s="1">
        <f t="shared" si="19"/>
        <v>2.9288735810996742E-2</v>
      </c>
      <c r="AW24" s="1">
        <f t="shared" si="20"/>
        <v>3.2410920947100727E-2</v>
      </c>
      <c r="AX24" s="1">
        <f t="shared" si="21"/>
        <v>3.2410921180947058E-2</v>
      </c>
    </row>
    <row r="25" spans="4:50" x14ac:dyDescent="0.25">
      <c r="D25" s="1">
        <f>D24*'Enter data'!$C$77</f>
        <v>7.0584515400781838</v>
      </c>
      <c r="E25">
        <f t="shared" si="2"/>
        <v>7.0584515400781839E-9</v>
      </c>
      <c r="G25" s="1">
        <f t="shared" si="22"/>
        <v>2.4502668442838039E-2</v>
      </c>
      <c r="H25" s="1">
        <f t="shared" si="23"/>
        <v>2.4502668442838039E-2</v>
      </c>
      <c r="I25" s="1">
        <f t="shared" si="24"/>
        <v>4.1711792052461683E-7</v>
      </c>
      <c r="J25" s="1">
        <f t="shared" si="25"/>
        <v>6.1458109981343526E-8</v>
      </c>
      <c r="K25" s="1">
        <f>'Enter data'!$C$86/D25</f>
        <v>42472836.470968999</v>
      </c>
      <c r="L25" s="1"/>
      <c r="M25" s="24">
        <f>1+(2/PI())*ATAN(1.4*('Enter data'!C$32/G25)^2)</f>
        <v>1</v>
      </c>
      <c r="N25" s="24">
        <f>1+(2/PI())*ATAN(1.4*('Enter data'!D$32/H25)^2)</f>
        <v>1</v>
      </c>
      <c r="O25" s="1">
        <f t="shared" si="3"/>
        <v>4.0108562055925036E-2</v>
      </c>
      <c r="P25" s="1">
        <f t="shared" si="4"/>
        <v>0.27221793844748282</v>
      </c>
      <c r="Q25" s="16">
        <f>8.686*O25/2/'Enter data'!C$46</f>
        <v>3.4738319311735199E-3</v>
      </c>
      <c r="R25" s="16">
        <f>8.686*P25/2/'Enter data'!C$46</f>
        <v>2.3576994994199723E-2</v>
      </c>
      <c r="S25" s="16">
        <f t="shared" si="5"/>
        <v>1.0588368480777615E-3</v>
      </c>
      <c r="T25" s="16">
        <f t="shared" si="6"/>
        <v>7.1863554603144725E-3</v>
      </c>
      <c r="U25">
        <f t="shared" si="0"/>
        <v>0.31232650050340788</v>
      </c>
      <c r="V25">
        <f>U25/(2*'Enter data'!$C$46)</f>
        <v>3.1143019716064067E-3</v>
      </c>
      <c r="W25">
        <f t="shared" si="1"/>
        <v>2.7050453209136655E-2</v>
      </c>
      <c r="Y25" s="1"/>
      <c r="Z25" s="1">
        <f>4*PI()^2*D25*'Enter data'!$C$85*'Enter data'!$E$15*'Enter data'!$E$16/LN('Enter data'!$C$45)</f>
        <v>1.2834588178069052E-12</v>
      </c>
      <c r="AA25" s="16">
        <f>27.28753*'Enter data'!$E$15^0.5*'Enter data'!$E$16*D25/'Enter data'!$C$86</f>
        <v>2.7930831366059103E-10</v>
      </c>
      <c r="AB25" s="16">
        <f t="shared" si="26"/>
        <v>8.5134209235732452E-11</v>
      </c>
      <c r="AC25" s="19"/>
      <c r="AD25">
        <f>2*PI()/'Enter data'!$E$11/LN($C$3/$C$2)</f>
        <v>5.1880404392247992E-18</v>
      </c>
      <c r="AE25" s="14">
        <f>8.686*AD25*'Enter data'!$C$46/2</f>
        <v>1.1298253133715425E-15</v>
      </c>
      <c r="AF25" s="16">
        <f t="shared" si="7"/>
        <v>3.4437494311495441E-16</v>
      </c>
      <c r="AH25" s="1">
        <f t="shared" si="8"/>
        <v>2.7050827204682687E-2</v>
      </c>
      <c r="AI25" s="16">
        <f t="shared" si="9"/>
        <v>8.2451923935267877E-3</v>
      </c>
      <c r="AK25" s="1">
        <f t="shared" si="10"/>
        <v>2.3648492992976162E-3</v>
      </c>
      <c r="AL25" s="1">
        <f t="shared" si="11"/>
        <v>1.6050298689246397E-2</v>
      </c>
      <c r="AM25" s="1">
        <f t="shared" si="12"/>
        <v>1.8415147988544014E-2</v>
      </c>
      <c r="AN25" s="1">
        <f t="shared" si="13"/>
        <v>1.8415148267853457E-2</v>
      </c>
      <c r="AP25" s="1">
        <f t="shared" si="14"/>
        <v>3.4738319311735199E-3</v>
      </c>
      <c r="AQ25" s="1">
        <f t="shared" si="15"/>
        <v>2.3576994994199723E-2</v>
      </c>
      <c r="AR25" s="1">
        <f t="shared" si="16"/>
        <v>2.7050826925373243E-2</v>
      </c>
      <c r="AS25" s="1">
        <f t="shared" si="17"/>
        <v>2.7050827204682687E-2</v>
      </c>
      <c r="AU25" s="1">
        <f t="shared" si="18"/>
        <v>3.1228880603267149E-3</v>
      </c>
      <c r="AV25" s="1">
        <f t="shared" si="19"/>
        <v>2.9293473200493386E-2</v>
      </c>
      <c r="AW25" s="1">
        <f t="shared" si="20"/>
        <v>3.2416361260820099E-2</v>
      </c>
      <c r="AX25" s="1">
        <f t="shared" si="21"/>
        <v>3.2416361540129543E-2</v>
      </c>
    </row>
    <row r="26" spans="4:50" x14ac:dyDescent="0.25">
      <c r="D26" s="1">
        <f>D25*'Enter data'!$C$77</f>
        <v>8.4307233970960969</v>
      </c>
      <c r="E26">
        <f t="shared" si="2"/>
        <v>8.4307233970960971E-9</v>
      </c>
      <c r="G26" s="1">
        <f t="shared" si="22"/>
        <v>2.2420003792415336E-2</v>
      </c>
      <c r="H26" s="1">
        <f t="shared" si="23"/>
        <v>2.2420003792415336E-2</v>
      </c>
      <c r="I26" s="1">
        <f t="shared" si="24"/>
        <v>4.1701531928352964E-7</v>
      </c>
      <c r="J26" s="1">
        <f t="shared" si="25"/>
        <v>6.1447248600028062E-8</v>
      </c>
      <c r="K26" s="1">
        <f>'Enter data'!$C$86/D26</f>
        <v>35559517.716268733</v>
      </c>
      <c r="L26" s="1"/>
      <c r="M26" s="24">
        <f>1+(2/PI())*ATAN(1.4*('Enter data'!C$32/G26)^2)</f>
        <v>1</v>
      </c>
      <c r="N26" s="24">
        <f>1+(2/PI())*ATAN(1.4*('Enter data'!D$32/H26)^2)</f>
        <v>1</v>
      </c>
      <c r="O26" s="1">
        <f t="shared" si="3"/>
        <v>4.0118430250341085E-2</v>
      </c>
      <c r="P26" s="1">
        <f t="shared" si="4"/>
        <v>0.27226605553812155</v>
      </c>
      <c r="Q26" s="16">
        <f>8.686*O26/2/'Enter data'!C$46</f>
        <v>3.4746866227183754E-3</v>
      </c>
      <c r="R26" s="16">
        <f>8.686*P26/2/'Enter data'!C$46</f>
        <v>2.3581162450656105E-2</v>
      </c>
      <c r="S26" s="16">
        <f t="shared" si="5"/>
        <v>1.0590973612284733E-3</v>
      </c>
      <c r="T26" s="16">
        <f t="shared" si="6"/>
        <v>7.1876257164886935E-3</v>
      </c>
      <c r="U26">
        <f t="shared" si="0"/>
        <v>0.31238448578846262</v>
      </c>
      <c r="V26">
        <f>U26/(2*'Enter data'!$C$46)</f>
        <v>3.114880160416127E-3</v>
      </c>
      <c r="W26">
        <f t="shared" si="1"/>
        <v>2.7055475287755225E-2</v>
      </c>
      <c r="Y26" s="1"/>
      <c r="Z26" s="1">
        <f>4*PI()^2*D26*'Enter data'!$C$85*'Enter data'!$E$15*'Enter data'!$E$16/LN('Enter data'!$C$45)</f>
        <v>1.5329830095247946E-12</v>
      </c>
      <c r="AA26" s="16">
        <f>27.28753*'Enter data'!$E$15^0.5*'Enter data'!$E$16*D26/'Enter data'!$C$86</f>
        <v>3.3361015820698225E-10</v>
      </c>
      <c r="AB26" s="16">
        <f t="shared" si="26"/>
        <v>1.0168561271853884E-10</v>
      </c>
      <c r="AC26" s="19"/>
      <c r="AD26">
        <f>2*PI()/'Enter data'!$E$11/LN($C$3/$C$2)</f>
        <v>5.1880404392247992E-18</v>
      </c>
      <c r="AE26" s="14">
        <f>8.686*AD26*'Enter data'!$C$46/2</f>
        <v>1.1298253133715425E-15</v>
      </c>
      <c r="AF26" s="16">
        <f t="shared" si="7"/>
        <v>3.4437494311495441E-16</v>
      </c>
      <c r="AH26" s="1">
        <f t="shared" si="8"/>
        <v>2.7055849406985768E-2</v>
      </c>
      <c r="AI26" s="16">
        <f t="shared" si="9"/>
        <v>8.2467231794031235E-3</v>
      </c>
      <c r="AK26" s="1">
        <f t="shared" si="10"/>
        <v>2.365431139968384E-3</v>
      </c>
      <c r="AL26" s="1">
        <f t="shared" si="11"/>
        <v>1.6053135731071099E-2</v>
      </c>
      <c r="AM26" s="1">
        <f t="shared" si="12"/>
        <v>1.8418566871039484E-2</v>
      </c>
      <c r="AN26" s="1">
        <f t="shared" si="13"/>
        <v>1.8418567204650772E-2</v>
      </c>
      <c r="AP26" s="1">
        <f t="shared" si="14"/>
        <v>3.4746866227183754E-3</v>
      </c>
      <c r="AQ26" s="1">
        <f t="shared" si="15"/>
        <v>2.3581162450656105E-2</v>
      </c>
      <c r="AR26" s="1">
        <f t="shared" si="16"/>
        <v>2.705584907337448E-2</v>
      </c>
      <c r="AS26" s="1">
        <f t="shared" si="17"/>
        <v>2.7055849406985768E-2</v>
      </c>
      <c r="AU26" s="1">
        <f t="shared" si="18"/>
        <v>3.1236564066582516E-3</v>
      </c>
      <c r="AV26" s="1">
        <f t="shared" si="19"/>
        <v>2.9298651098442183E-2</v>
      </c>
      <c r="AW26" s="1">
        <f t="shared" si="20"/>
        <v>3.2422307505100438E-2</v>
      </c>
      <c r="AX26" s="1">
        <f t="shared" si="21"/>
        <v>3.2422307838711729E-2</v>
      </c>
    </row>
    <row r="27" spans="4:50" x14ac:dyDescent="0.25">
      <c r="D27" s="1">
        <f>D26*'Enter data'!$C$77</f>
        <v>10.069786070608378</v>
      </c>
      <c r="E27">
        <f t="shared" si="2"/>
        <v>1.0069786070608378E-8</v>
      </c>
      <c r="G27" s="1">
        <f t="shared" si="22"/>
        <v>2.051436035322271E-2</v>
      </c>
      <c r="H27" s="1">
        <f t="shared" si="23"/>
        <v>2.051436035322271E-2</v>
      </c>
      <c r="I27" s="1">
        <f t="shared" si="24"/>
        <v>4.1690322483562085E-7</v>
      </c>
      <c r="J27" s="1">
        <f t="shared" si="25"/>
        <v>6.1435381564733647E-8</v>
      </c>
      <c r="K27" s="1">
        <f>'Enter data'!$C$86/D27</f>
        <v>29771482.323247377</v>
      </c>
      <c r="L27" s="1"/>
      <c r="M27" s="24">
        <f>1+(2/PI())*ATAN(1.4*('Enter data'!C$32/G27)^2)</f>
        <v>1</v>
      </c>
      <c r="N27" s="24">
        <f>1+(2/PI())*ATAN(1.4*('Enter data'!D$32/H27)^2)</f>
        <v>1</v>
      </c>
      <c r="O27" s="1">
        <f t="shared" si="3"/>
        <v>4.0129217054141061E-2</v>
      </c>
      <c r="P27" s="1">
        <f t="shared" si="4"/>
        <v>0.27231864723379023</v>
      </c>
      <c r="Q27" s="16">
        <f>8.686*O27/2/'Enter data'!C$46</f>
        <v>3.47562087569467E-3</v>
      </c>
      <c r="R27" s="16">
        <f>8.686*P27/2/'Enter data'!C$46</f>
        <v>2.3585717455930879E-2</v>
      </c>
      <c r="S27" s="16">
        <f t="shared" si="5"/>
        <v>1.0593821249983754E-3</v>
      </c>
      <c r="T27" s="16">
        <f t="shared" si="6"/>
        <v>7.1890140989791752E-3</v>
      </c>
      <c r="U27">
        <f t="shared" si="0"/>
        <v>0.31244786428793131</v>
      </c>
      <c r="V27">
        <f>U27/(2*'Enter data'!$C$46)</f>
        <v>3.1155121265974616E-3</v>
      </c>
      <c r="W27">
        <f t="shared" si="1"/>
        <v>2.7060964470170357E-2</v>
      </c>
      <c r="Y27" s="1"/>
      <c r="Z27" s="1">
        <f>4*PI()^2*D27*'Enter data'!$C$85*'Enter data'!$E$15*'Enter data'!$E$16/LN('Enter data'!$C$45)</f>
        <v>1.8310185530590629E-12</v>
      </c>
      <c r="AA27" s="16">
        <f>27.28753*'Enter data'!$E$15^0.5*'Enter data'!$E$16*D27/'Enter data'!$C$86</f>
        <v>3.984691189469272E-10</v>
      </c>
      <c r="AB27" s="16">
        <f t="shared" si="26"/>
        <v>1.2145486434617384E-10</v>
      </c>
      <c r="AC27" s="19"/>
      <c r="AD27">
        <f>2*PI()/'Enter data'!$E$11/LN($C$3/$C$2)</f>
        <v>5.1880404392247992E-18</v>
      </c>
      <c r="AE27" s="14">
        <f>8.686*AD27*'Enter data'!$C$46/2</f>
        <v>1.1298253133715425E-15</v>
      </c>
      <c r="AF27" s="16">
        <f t="shared" si="7"/>
        <v>3.4437494311495441E-16</v>
      </c>
      <c r="AH27" s="1">
        <f t="shared" si="8"/>
        <v>2.7061338730095801E-2</v>
      </c>
      <c r="AI27" s="16">
        <f t="shared" si="9"/>
        <v>8.2483963454327604E-3</v>
      </c>
      <c r="AK27" s="1">
        <f t="shared" si="10"/>
        <v>2.3660671429587793E-3</v>
      </c>
      <c r="AL27" s="1">
        <f t="shared" si="11"/>
        <v>1.605623660101696E-2</v>
      </c>
      <c r="AM27" s="1">
        <f t="shared" si="12"/>
        <v>1.842230374397574E-2</v>
      </c>
      <c r="AN27" s="1">
        <f t="shared" si="13"/>
        <v>1.8422304142445989E-2</v>
      </c>
      <c r="AP27" s="1">
        <f t="shared" si="14"/>
        <v>3.47562087569467E-3</v>
      </c>
      <c r="AQ27" s="1">
        <f t="shared" si="15"/>
        <v>2.3585717455930879E-2</v>
      </c>
      <c r="AR27" s="1">
        <f t="shared" si="16"/>
        <v>2.7061338331625551E-2</v>
      </c>
      <c r="AS27" s="1">
        <f t="shared" si="17"/>
        <v>2.7061338730095801E-2</v>
      </c>
      <c r="AU27" s="1">
        <f t="shared" si="18"/>
        <v>3.1244962767276157E-3</v>
      </c>
      <c r="AV27" s="1">
        <f t="shared" si="19"/>
        <v>2.9304310510295879E-2</v>
      </c>
      <c r="AW27" s="1">
        <f t="shared" si="20"/>
        <v>3.2428806787023493E-2</v>
      </c>
      <c r="AX27" s="1">
        <f t="shared" si="21"/>
        <v>3.2428807185493742E-2</v>
      </c>
    </row>
    <row r="28" spans="4:50" x14ac:dyDescent="0.25">
      <c r="D28" s="1">
        <f>D27*'Enter data'!$C$77</f>
        <v>12.027507810628119</v>
      </c>
      <c r="E28">
        <f t="shared" si="2"/>
        <v>1.202750781062812E-8</v>
      </c>
      <c r="G28" s="1">
        <f t="shared" si="22"/>
        <v>1.8770691771436955E-2</v>
      </c>
      <c r="H28" s="1">
        <f t="shared" si="23"/>
        <v>1.8770691771436955E-2</v>
      </c>
      <c r="I28" s="1">
        <f t="shared" si="24"/>
        <v>4.167807626488813E-7</v>
      </c>
      <c r="J28" s="1">
        <f t="shared" si="25"/>
        <v>6.1422416096175303E-8</v>
      </c>
      <c r="K28" s="1">
        <f>'Enter data'!$C$86/D28</f>
        <v>24925567.517411053</v>
      </c>
      <c r="L28" s="1"/>
      <c r="M28" s="24">
        <f>1+(2/PI())*ATAN(1.4*('Enter data'!C$32/G28)^2)</f>
        <v>1</v>
      </c>
      <c r="N28" s="24">
        <f>1+(2/PI())*ATAN(1.4*('Enter data'!D$32/H28)^2)</f>
        <v>1</v>
      </c>
      <c r="O28" s="1">
        <f t="shared" si="3"/>
        <v>4.0141008173388892E-2</v>
      </c>
      <c r="P28" s="1">
        <f t="shared" si="4"/>
        <v>0.27237613013796369</v>
      </c>
      <c r="Q28" s="16">
        <f>8.686*O28/2/'Enter data'!C$46</f>
        <v>3.4766421131673642E-3</v>
      </c>
      <c r="R28" s="16">
        <f>8.686*P28/2/'Enter data'!C$46</f>
        <v>2.3590696092356086E-2</v>
      </c>
      <c r="S28" s="16">
        <f t="shared" si="5"/>
        <v>1.0596934019651805E-3</v>
      </c>
      <c r="T28" s="16">
        <f t="shared" si="6"/>
        <v>7.1905316058144611E-3</v>
      </c>
      <c r="U28">
        <f t="shared" si="0"/>
        <v>0.31251713831135258</v>
      </c>
      <c r="V28">
        <f>U28/(2*'Enter data'!$C$46)</f>
        <v>3.116202878830699E-3</v>
      </c>
      <c r="W28">
        <f t="shared" si="1"/>
        <v>2.7066964261177988E-2</v>
      </c>
      <c r="Y28" s="1"/>
      <c r="Z28" s="1">
        <f>4*PI()^2*D28*'Enter data'!$C$85*'Enter data'!$E$15*'Enter data'!$E$16/LN('Enter data'!$C$45)</f>
        <v>2.1869968034973714E-12</v>
      </c>
      <c r="AA28" s="16">
        <f>27.28753*'Enter data'!$E$15^0.5*'Enter data'!$E$16*D28/'Enter data'!$C$86</f>
        <v>4.7593766211348341E-10</v>
      </c>
      <c r="AB28" s="16">
        <f t="shared" si="26"/>
        <v>1.450675634337611E-10</v>
      </c>
      <c r="AC28" s="19"/>
      <c r="AD28">
        <f>2*PI()/'Enter data'!$E$11/LN($C$3/$C$2)</f>
        <v>5.1880404392247992E-18</v>
      </c>
      <c r="AE28" s="14">
        <f>8.686*AD28*'Enter data'!$C$46/2</f>
        <v>1.1298253133715425E-15</v>
      </c>
      <c r="AF28" s="16">
        <f t="shared" si="7"/>
        <v>3.4437494311495441E-16</v>
      </c>
      <c r="AH28" s="1">
        <f t="shared" si="8"/>
        <v>2.7067338681462241E-2</v>
      </c>
      <c r="AI28" s="16">
        <f t="shared" si="9"/>
        <v>8.2502251528475488E-3</v>
      </c>
      <c r="AK28" s="1">
        <f t="shared" si="10"/>
        <v>2.3667623616019278E-3</v>
      </c>
      <c r="AL28" s="1">
        <f t="shared" si="11"/>
        <v>1.6059625862528421E-2</v>
      </c>
      <c r="AM28" s="1">
        <f t="shared" si="12"/>
        <v>1.8426388224130348E-2</v>
      </c>
      <c r="AN28" s="1">
        <f t="shared" si="13"/>
        <v>1.842638870006914E-2</v>
      </c>
      <c r="AP28" s="1">
        <f t="shared" si="14"/>
        <v>3.4766421131673642E-3</v>
      </c>
      <c r="AQ28" s="1">
        <f t="shared" si="15"/>
        <v>2.3590696092356086E-2</v>
      </c>
      <c r="AR28" s="1">
        <f t="shared" si="16"/>
        <v>2.7067338205523449E-2</v>
      </c>
      <c r="AS28" s="1">
        <f t="shared" si="17"/>
        <v>2.7067338681462241E-2</v>
      </c>
      <c r="AU28" s="1">
        <f t="shared" si="18"/>
        <v>3.1254143436846311E-3</v>
      </c>
      <c r="AV28" s="1">
        <f t="shared" si="19"/>
        <v>2.931049626690874E-2</v>
      </c>
      <c r="AW28" s="1">
        <f t="shared" si="20"/>
        <v>3.2435910610593373E-2</v>
      </c>
      <c r="AX28" s="1">
        <f t="shared" si="21"/>
        <v>3.2435911086532168E-2</v>
      </c>
    </row>
    <row r="29" spans="4:50" x14ac:dyDescent="0.25">
      <c r="D29" s="1">
        <f>D28*'Enter data'!$C$77</f>
        <v>14.365840855046143</v>
      </c>
      <c r="E29">
        <f t="shared" si="2"/>
        <v>1.4365840855046143E-8</v>
      </c>
      <c r="G29" s="1">
        <f t="shared" si="22"/>
        <v>1.7175230595134799E-2</v>
      </c>
      <c r="H29" s="1">
        <f t="shared" si="23"/>
        <v>1.7175230595134799E-2</v>
      </c>
      <c r="I29" s="1">
        <f t="shared" si="24"/>
        <v>4.1664697836936027E-7</v>
      </c>
      <c r="J29" s="1">
        <f t="shared" si="25"/>
        <v>6.1408250920443159E-8</v>
      </c>
      <c r="K29" s="1">
        <f>'Enter data'!$C$86/D29</f>
        <v>20868423.994457308</v>
      </c>
      <c r="L29" s="1"/>
      <c r="M29" s="24">
        <f>1+(2/PI())*ATAN(1.4*('Enter data'!C$32/G29)^2)</f>
        <v>1</v>
      </c>
      <c r="N29" s="24">
        <f>1+(2/PI())*ATAN(1.4*('Enter data'!D$32/H29)^2)</f>
        <v>1</v>
      </c>
      <c r="O29" s="1">
        <f t="shared" si="3"/>
        <v>4.0153897348485623E-2</v>
      </c>
      <c r="P29" s="1">
        <f t="shared" si="4"/>
        <v>0.272438959736443</v>
      </c>
      <c r="Q29" s="16">
        <f>8.686*O29/2/'Enter data'!C$46</f>
        <v>3.4777584540612383E-3</v>
      </c>
      <c r="R29" s="16">
        <f>8.686*P29/2/'Enter data'!C$46</f>
        <v>2.3596137809890512E-2</v>
      </c>
      <c r="S29" s="16">
        <f t="shared" si="5"/>
        <v>1.0600336668072537E-3</v>
      </c>
      <c r="T29" s="16">
        <f t="shared" si="6"/>
        <v>7.1921902614882072E-3</v>
      </c>
      <c r="U29">
        <f t="shared" si="0"/>
        <v>0.31259285708492862</v>
      </c>
      <c r="V29">
        <f>U29/(2*'Enter data'!$C$46)</f>
        <v>3.1169578936163654E-3</v>
      </c>
      <c r="W29">
        <f t="shared" si="1"/>
        <v>2.7073522229004512E-2</v>
      </c>
      <c r="Y29" s="1"/>
      <c r="Z29" s="1">
        <f>4*PI()^2*D29*'Enter data'!$C$85*'Enter data'!$E$15*'Enter data'!$E$16/LN('Enter data'!$C$45)</f>
        <v>2.6121827168364235E-12</v>
      </c>
      <c r="AA29" s="16">
        <f>27.28753*'Enter data'!$E$15^0.5*'Enter data'!$E$16*D29/'Enter data'!$C$86</f>
        <v>5.6846728503500019E-10</v>
      </c>
      <c r="AB29" s="16">
        <f t="shared" si="26"/>
        <v>1.7327093545324316E-10</v>
      </c>
      <c r="AC29" s="19"/>
      <c r="AD29">
        <f>2*PI()/'Enter data'!$E$11/LN($C$3/$C$2)</f>
        <v>5.1880404392247992E-18</v>
      </c>
      <c r="AE29" s="14">
        <f>8.686*AD29*'Enter data'!$C$46/2</f>
        <v>1.1298253133715425E-15</v>
      </c>
      <c r="AF29" s="16">
        <f t="shared" si="7"/>
        <v>3.4437494311495441E-16</v>
      </c>
      <c r="AH29" s="1">
        <f t="shared" si="8"/>
        <v>2.7073896832420164E-2</v>
      </c>
      <c r="AI29" s="16">
        <f t="shared" si="9"/>
        <v>8.2522241015667401E-3</v>
      </c>
      <c r="AK29" s="1">
        <f t="shared" si="10"/>
        <v>2.3675223229451827E-3</v>
      </c>
      <c r="AL29" s="1">
        <f t="shared" si="11"/>
        <v>1.6063330371598874E-2</v>
      </c>
      <c r="AM29" s="1">
        <f t="shared" si="12"/>
        <v>1.8430852694544055E-2</v>
      </c>
      <c r="AN29" s="1">
        <f t="shared" si="13"/>
        <v>1.843085326301247E-2</v>
      </c>
      <c r="AP29" s="1">
        <f t="shared" si="14"/>
        <v>3.4777584540612383E-3</v>
      </c>
      <c r="AQ29" s="1">
        <f t="shared" si="15"/>
        <v>2.3596137809890512E-2</v>
      </c>
      <c r="AR29" s="1">
        <f t="shared" si="16"/>
        <v>2.7073896263951749E-2</v>
      </c>
      <c r="AS29" s="1">
        <f t="shared" si="17"/>
        <v>2.7073896832420164E-2</v>
      </c>
      <c r="AU29" s="1">
        <f t="shared" si="18"/>
        <v>3.1264179062397016E-3</v>
      </c>
      <c r="AV29" s="1">
        <f t="shared" si="19"/>
        <v>2.9317257383276563E-2</v>
      </c>
      <c r="AW29" s="1">
        <f t="shared" si="20"/>
        <v>3.2443675289516263E-2</v>
      </c>
      <c r="AX29" s="1">
        <f t="shared" si="21"/>
        <v>3.2443675857984682E-2</v>
      </c>
    </row>
    <row r="30" spans="4:50" x14ac:dyDescent="0.25">
      <c r="D30" s="1">
        <f>D29*'Enter data'!$C$77</f>
        <v>17.1587819124214</v>
      </c>
      <c r="E30">
        <f t="shared" si="2"/>
        <v>1.7158781912421401E-8</v>
      </c>
      <c r="G30" s="1">
        <f t="shared" si="22"/>
        <v>1.5715379570876209E-2</v>
      </c>
      <c r="H30" s="1">
        <f t="shared" si="23"/>
        <v>1.5715379570876209E-2</v>
      </c>
      <c r="I30" s="1">
        <f t="shared" si="24"/>
        <v>4.1650083068305292E-7</v>
      </c>
      <c r="J30" s="1">
        <f t="shared" si="25"/>
        <v>6.139277550308658E-8</v>
      </c>
      <c r="K30" s="1">
        <f>'Enter data'!$C$86/D30</f>
        <v>17471663.171088938</v>
      </c>
      <c r="L30" s="1"/>
      <c r="M30" s="24">
        <f>1+(2/PI())*ATAN(1.4*('Enter data'!C$32/G30)^2)</f>
        <v>1</v>
      </c>
      <c r="N30" s="24">
        <f>1+(2/PI())*ATAN(1.4*('Enter data'!D$32/H30)^2)</f>
        <v>1</v>
      </c>
      <c r="O30" s="1">
        <f t="shared" si="3"/>
        <v>4.0167987114366956E-2</v>
      </c>
      <c r="P30" s="1">
        <f t="shared" si="4"/>
        <v>0.27250763404822581</v>
      </c>
      <c r="Q30" s="16">
        <f>8.686*O30/2/'Enter data'!C$46</f>
        <v>3.4789787790021594E-3</v>
      </c>
      <c r="R30" s="16">
        <f>8.686*P30/2/'Enter data'!C$46</f>
        <v>2.3602085742324235E-2</v>
      </c>
      <c r="S30" s="16">
        <f t="shared" si="5"/>
        <v>1.0604056263722747E-3</v>
      </c>
      <c r="T30" s="16">
        <f t="shared" si="6"/>
        <v>7.1940032133395006E-3</v>
      </c>
      <c r="U30">
        <f t="shared" si="0"/>
        <v>0.31267562116259279</v>
      </c>
      <c r="V30">
        <f>U30/(2*'Enter data'!$C$46)</f>
        <v>3.1177831592593135E-3</v>
      </c>
      <c r="W30">
        <f t="shared" si="1"/>
        <v>2.7080690387347284E-2</v>
      </c>
      <c r="Y30" s="1"/>
      <c r="Z30" s="1">
        <f>4*PI()^2*D30*'Enter data'!$C$85*'Enter data'!$E$15*'Enter data'!$E$16/LN('Enter data'!$C$45)</f>
        <v>3.1200313302822433E-12</v>
      </c>
      <c r="AA30" s="16">
        <f>27.28753*'Enter data'!$E$15^0.5*'Enter data'!$E$16*D30/'Enter data'!$C$86</f>
        <v>6.7898609393515605E-10</v>
      </c>
      <c r="AB30" s="16">
        <f t="shared" si="26"/>
        <v>2.0695747803436846E-10</v>
      </c>
      <c r="AC30" s="19"/>
      <c r="AD30">
        <f>2*PI()/'Enter data'!$E$11/LN($C$3/$C$2)</f>
        <v>5.1880404392247992E-18</v>
      </c>
      <c r="AE30" s="14">
        <f>8.686*AD30*'Enter data'!$C$46/2</f>
        <v>1.1298253133715425E-15</v>
      </c>
      <c r="AF30" s="16">
        <f t="shared" si="7"/>
        <v>3.4437494311495441E-16</v>
      </c>
      <c r="AH30" s="1">
        <f t="shared" si="8"/>
        <v>2.7081065200313618E-2</v>
      </c>
      <c r="AI30" s="16">
        <f t="shared" si="9"/>
        <v>8.2544090466695978E-3</v>
      </c>
      <c r="AK30" s="1">
        <f t="shared" si="10"/>
        <v>2.368353072572289E-3</v>
      </c>
      <c r="AL30" s="1">
        <f t="shared" si="11"/>
        <v>1.6067379492030388E-2</v>
      </c>
      <c r="AM30" s="1">
        <f t="shared" si="12"/>
        <v>1.8435732564602677E-2</v>
      </c>
      <c r="AN30" s="1">
        <f t="shared" si="13"/>
        <v>1.8435733243589901E-2</v>
      </c>
      <c r="AP30" s="1">
        <f t="shared" si="14"/>
        <v>3.4789787790021594E-3</v>
      </c>
      <c r="AQ30" s="1">
        <f t="shared" si="15"/>
        <v>2.3602085742324235E-2</v>
      </c>
      <c r="AR30" s="1">
        <f t="shared" si="16"/>
        <v>2.7081064521326394E-2</v>
      </c>
      <c r="AS30" s="1">
        <f t="shared" si="17"/>
        <v>2.7081065200313618E-2</v>
      </c>
      <c r="AU30" s="1">
        <f t="shared" si="18"/>
        <v>3.1275149478534664E-3</v>
      </c>
      <c r="AV30" s="1">
        <f t="shared" si="19"/>
        <v>2.9324647451408167E-2</v>
      </c>
      <c r="AW30" s="1">
        <f t="shared" si="20"/>
        <v>3.245216239926163E-2</v>
      </c>
      <c r="AX30" s="1">
        <f t="shared" si="21"/>
        <v>3.2452163078248858E-2</v>
      </c>
    </row>
    <row r="31" spans="4:50" x14ac:dyDescent="0.25">
      <c r="D31" s="1">
        <f>D30*'Enter data'!$C$77</f>
        <v>20.494713792866538</v>
      </c>
      <c r="E31">
        <f t="shared" si="2"/>
        <v>2.0494713792866537E-8</v>
      </c>
      <c r="G31" s="1">
        <f t="shared" si="22"/>
        <v>1.4379612179802289E-2</v>
      </c>
      <c r="H31" s="1">
        <f t="shared" si="23"/>
        <v>1.4379612179802289E-2</v>
      </c>
      <c r="I31" s="1">
        <f t="shared" si="24"/>
        <v>4.1634118356265253E-7</v>
      </c>
      <c r="J31" s="1">
        <f t="shared" si="25"/>
        <v>6.1375869218955404E-8</v>
      </c>
      <c r="K31" s="1">
        <f>'Enter data'!$C$86/D31</f>
        <v>14627794.319545308</v>
      </c>
      <c r="L31" s="1"/>
      <c r="M31" s="24">
        <f>1+(2/PI())*ATAN(1.4*('Enter data'!C$32/G31)^2)</f>
        <v>1</v>
      </c>
      <c r="N31" s="24">
        <f>1+(2/PI())*ATAN(1.4*('Enter data'!D$32/H31)^2)</f>
        <v>1</v>
      </c>
      <c r="O31" s="1">
        <f t="shared" si="3"/>
        <v>4.0183389634531337E-2</v>
      </c>
      <c r="P31" s="1">
        <f t="shared" si="4"/>
        <v>0.27258269761225778</v>
      </c>
      <c r="Q31" s="16">
        <f>8.686*O31/2/'Enter data'!C$46</f>
        <v>3.4803128025528659E-3</v>
      </c>
      <c r="R31" s="16">
        <f>8.686*P31/2/'Enter data'!C$46</f>
        <v>2.3608587052574112E-2</v>
      </c>
      <c r="S31" s="16">
        <f t="shared" si="5"/>
        <v>1.0608122416949726E-3</v>
      </c>
      <c r="T31" s="16">
        <f t="shared" si="6"/>
        <v>7.1959848368002045E-3</v>
      </c>
      <c r="U31">
        <f t="shared" si="0"/>
        <v>0.31276608724678912</v>
      </c>
      <c r="V31">
        <f>U31/(2*'Enter data'!$C$46)</f>
        <v>3.1186852239381735E-3</v>
      </c>
      <c r="W31">
        <f t="shared" si="1"/>
        <v>2.7088525612900101E-2</v>
      </c>
      <c r="Y31" s="1"/>
      <c r="Z31" s="1">
        <f>4*PI()^2*D31*'Enter data'!$C$85*'Enter data'!$E$15*'Enter data'!$E$16/LN('Enter data'!$C$45)</f>
        <v>3.726613547819583E-12</v>
      </c>
      <c r="AA31" s="16">
        <f>27.28753*'Enter data'!$E$15^0.5*'Enter data'!$E$16*D31/'Enter data'!$C$86</f>
        <v>8.1099146405397041E-10</v>
      </c>
      <c r="AB31" s="16">
        <f t="shared" si="26"/>
        <v>2.4719320411301217E-10</v>
      </c>
      <c r="AC31" s="19"/>
      <c r="AD31">
        <f>2*PI()/'Enter data'!$E$11/LN($C$3/$C$2)</f>
        <v>5.1880404392247992E-18</v>
      </c>
      <c r="AE31" s="14">
        <f>8.686*AD31*'Enter data'!$C$46/2</f>
        <v>1.1298253133715425E-15</v>
      </c>
      <c r="AF31" s="16">
        <f t="shared" si="7"/>
        <v>3.4437494311495441E-16</v>
      </c>
      <c r="AH31" s="1">
        <f t="shared" si="8"/>
        <v>2.7088900666119575E-2</v>
      </c>
      <c r="AI31" s="16">
        <f t="shared" si="9"/>
        <v>8.2567973256887257E-3</v>
      </c>
      <c r="AK31" s="1">
        <f t="shared" si="10"/>
        <v>2.3692612237786914E-3</v>
      </c>
      <c r="AL31" s="1">
        <f t="shared" si="11"/>
        <v>1.6071805330497405E-2</v>
      </c>
      <c r="AM31" s="1">
        <f t="shared" si="12"/>
        <v>1.8441066554276096E-2</v>
      </c>
      <c r="AN31" s="1">
        <f t="shared" si="13"/>
        <v>1.8441067365268692E-2</v>
      </c>
      <c r="AP31" s="1">
        <f t="shared" si="14"/>
        <v>3.4803128025528659E-3</v>
      </c>
      <c r="AQ31" s="1">
        <f t="shared" si="15"/>
        <v>2.3608587052574112E-2</v>
      </c>
      <c r="AR31" s="1">
        <f t="shared" si="16"/>
        <v>2.7088899855126979E-2</v>
      </c>
      <c r="AS31" s="1">
        <f t="shared" si="17"/>
        <v>2.7088900666119575E-2</v>
      </c>
      <c r="AU31" s="1">
        <f t="shared" si="18"/>
        <v>3.1287142016749626E-3</v>
      </c>
      <c r="AV31" s="1">
        <f t="shared" si="19"/>
        <v>2.9332725069341228E-2</v>
      </c>
      <c r="AW31" s="1">
        <f t="shared" si="20"/>
        <v>3.246143927101619E-2</v>
      </c>
      <c r="AX31" s="1">
        <f t="shared" si="21"/>
        <v>3.2461440082008783E-2</v>
      </c>
    </row>
    <row r="32" spans="4:50" x14ac:dyDescent="0.25">
      <c r="D32" s="1">
        <f>D31*'Enter data'!$C$77</f>
        <v>24.479202288097618</v>
      </c>
      <c r="E32">
        <f t="shared" si="2"/>
        <v>2.4479202288097619E-8</v>
      </c>
      <c r="G32" s="1">
        <f t="shared" si="22"/>
        <v>1.3157381627912518E-2</v>
      </c>
      <c r="H32" s="1">
        <f t="shared" si="23"/>
        <v>1.3157381627912518E-2</v>
      </c>
      <c r="I32" s="1">
        <f t="shared" si="24"/>
        <v>4.1616679786093395E-7</v>
      </c>
      <c r="J32" s="1">
        <f t="shared" si="25"/>
        <v>6.1357400447604866E-8</v>
      </c>
      <c r="K32" s="1">
        <f>'Enter data'!$C$86/D32</f>
        <v>12246823.01619634</v>
      </c>
      <c r="L32" s="1"/>
      <c r="M32" s="24">
        <f>1+(2/PI())*ATAN(1.4*('Enter data'!C$32/G32)^2)</f>
        <v>1</v>
      </c>
      <c r="N32" s="24">
        <f>1+(2/PI())*ATAN(1.4*('Enter data'!D$32/H32)^2)</f>
        <v>1</v>
      </c>
      <c r="O32" s="1">
        <f t="shared" si="3"/>
        <v>4.0200227615443958E-2</v>
      </c>
      <c r="P32" s="1">
        <f t="shared" si="4"/>
        <v>0.27266474586527356</v>
      </c>
      <c r="Q32" s="16">
        <f>8.686*O32/2/'Enter data'!C$46</f>
        <v>3.4817711524101655E-3</v>
      </c>
      <c r="R32" s="16">
        <f>8.686*P32/2/'Enter data'!C$46</f>
        <v>2.361569331185176E-2</v>
      </c>
      <c r="S32" s="16">
        <f t="shared" si="5"/>
        <v>1.0612567521367244E-3</v>
      </c>
      <c r="T32" s="16">
        <f t="shared" si="6"/>
        <v>7.1981508509667636E-3</v>
      </c>
      <c r="U32">
        <f t="shared" si="0"/>
        <v>0.31286497348071751</v>
      </c>
      <c r="V32">
        <f>U32/(2*'Enter data'!$C$46)</f>
        <v>3.11967124847593E-3</v>
      </c>
      <c r="W32">
        <f t="shared" si="1"/>
        <v>2.7097090103712109E-2</v>
      </c>
      <c r="Y32" s="1"/>
      <c r="Z32" s="1">
        <f>4*PI()^2*D32*'Enter data'!$C$85*'Enter data'!$E$15*'Enter data'!$E$16/LN('Enter data'!$C$45)</f>
        <v>4.4511247050638337E-12</v>
      </c>
      <c r="AA32" s="16">
        <f>27.28753*'Enter data'!$E$15^0.5*'Enter data'!$E$16*D32/'Enter data'!$C$86</f>
        <v>9.686607143256371E-10</v>
      </c>
      <c r="AB32" s="16">
        <f t="shared" si="26"/>
        <v>2.9525137598318611E-10</v>
      </c>
      <c r="AC32" s="19"/>
      <c r="AD32">
        <f>2*PI()/'Enter data'!$E$11/LN($C$3/$C$2)</f>
        <v>5.1880404392247992E-18</v>
      </c>
      <c r="AE32" s="14">
        <f>8.686*AD32*'Enter data'!$C$46/2</f>
        <v>1.1298253133715425E-15</v>
      </c>
      <c r="AF32" s="16">
        <f t="shared" si="7"/>
        <v>3.4437494311495441E-16</v>
      </c>
      <c r="AH32" s="1">
        <f t="shared" si="8"/>
        <v>2.7097465432923771E-2</v>
      </c>
      <c r="AI32" s="16">
        <f t="shared" si="9"/>
        <v>8.2594078983552095E-3</v>
      </c>
      <c r="AK32" s="1">
        <f t="shared" si="10"/>
        <v>2.3702540114858965E-3</v>
      </c>
      <c r="AL32" s="1">
        <f t="shared" si="11"/>
        <v>1.6076642994669516E-2</v>
      </c>
      <c r="AM32" s="1">
        <f t="shared" si="12"/>
        <v>1.8446897006155413E-2</v>
      </c>
      <c r="AN32" s="1">
        <f t="shared" si="13"/>
        <v>1.8446897974817258E-2</v>
      </c>
      <c r="AP32" s="1">
        <f t="shared" si="14"/>
        <v>3.4817711524101655E-3</v>
      </c>
      <c r="AQ32" s="1">
        <f t="shared" si="15"/>
        <v>2.361569331185176E-2</v>
      </c>
      <c r="AR32" s="1">
        <f t="shared" si="16"/>
        <v>2.7097464464261926E-2</v>
      </c>
      <c r="AS32" s="1">
        <f t="shared" si="17"/>
        <v>2.7097465432923771E-2</v>
      </c>
      <c r="AU32" s="1">
        <f t="shared" si="18"/>
        <v>3.1300252217379282E-3</v>
      </c>
      <c r="AV32" s="1">
        <f t="shared" si="19"/>
        <v>2.9341554312243334E-2</v>
      </c>
      <c r="AW32" s="1">
        <f t="shared" si="20"/>
        <v>3.2471579533981262E-2</v>
      </c>
      <c r="AX32" s="1">
        <f t="shared" si="21"/>
        <v>3.2471580502643108E-2</v>
      </c>
    </row>
    <row r="33" spans="4:50" x14ac:dyDescent="0.25">
      <c r="D33" s="1">
        <f>D32*'Enter data'!$C$77</f>
        <v>29.238336808107764</v>
      </c>
      <c r="E33">
        <f t="shared" si="2"/>
        <v>2.9238336808107765E-8</v>
      </c>
      <c r="G33" s="1">
        <f t="shared" si="22"/>
        <v>1.2039037571937502E-2</v>
      </c>
      <c r="H33" s="1">
        <f t="shared" si="23"/>
        <v>1.2039037571937502E-2</v>
      </c>
      <c r="I33" s="1">
        <f t="shared" si="24"/>
        <v>4.159763221944102E-7</v>
      </c>
      <c r="J33" s="1">
        <f t="shared" si="25"/>
        <v>6.1337225592870134E-8</v>
      </c>
      <c r="K33" s="1">
        <f>'Enter data'!$C$86/D33</f>
        <v>10253403.261873221</v>
      </c>
      <c r="L33" s="1"/>
      <c r="M33" s="24">
        <f>1+(2/PI())*ATAN(1.4*('Enter data'!C$32/G33)^2)</f>
        <v>1</v>
      </c>
      <c r="N33" s="24">
        <f>1+(2/PI())*ATAN(1.4*('Enter data'!D$32/H33)^2)</f>
        <v>1</v>
      </c>
      <c r="O33" s="1">
        <f t="shared" si="3"/>
        <v>4.021863531016337E-2</v>
      </c>
      <c r="P33" s="1">
        <f t="shared" si="4"/>
        <v>0.27275442992884086</v>
      </c>
      <c r="Q33" s="16">
        <f>8.686*O33/2/'Enter data'!C$46</f>
        <v>3.483365456329773E-3</v>
      </c>
      <c r="R33" s="16">
        <f>8.686*P33/2/'Enter data'!C$46</f>
        <v>2.362346091427299E-2</v>
      </c>
      <c r="S33" s="16">
        <f t="shared" si="5"/>
        <v>1.0617427018805696E-3</v>
      </c>
      <c r="T33" s="16">
        <f t="shared" si="6"/>
        <v>7.2005184449746981E-3</v>
      </c>
      <c r="U33">
        <f t="shared" si="0"/>
        <v>0.31297306523900426</v>
      </c>
      <c r="V33">
        <f>U33/(2*'Enter data'!$C$46)</f>
        <v>3.120749064080447E-3</v>
      </c>
      <c r="W33">
        <f t="shared" si="1"/>
        <v>2.710645188071507E-2</v>
      </c>
      <c r="Y33" s="1"/>
      <c r="Z33" s="1">
        <f>4*PI()^2*D33*'Enter data'!$C$85*'Enter data'!$E$15*'Enter data'!$E$16/LN('Enter data'!$C$45)</f>
        <v>5.3164920069648099E-12</v>
      </c>
      <c r="AA33" s="16">
        <f>27.28753*'Enter data'!$E$15^0.5*'Enter data'!$E$16*D33/'Enter data'!$C$86</f>
        <v>1.1569832989209004E-9</v>
      </c>
      <c r="AB33" s="16">
        <f t="shared" si="26"/>
        <v>3.5265279776911129E-10</v>
      </c>
      <c r="AC33" s="19"/>
      <c r="AD33">
        <f>2*PI()/'Enter data'!$E$11/LN($C$3/$C$2)</f>
        <v>5.1880404392247992E-18</v>
      </c>
      <c r="AE33" s="14">
        <f>8.686*AD33*'Enter data'!$C$46/2</f>
        <v>1.1298253133715425E-15</v>
      </c>
      <c r="AF33" s="16">
        <f t="shared" si="7"/>
        <v>3.4437494311495441E-16</v>
      </c>
      <c r="AH33" s="1">
        <f t="shared" si="8"/>
        <v>2.7106827527587193E-2</v>
      </c>
      <c r="AI33" s="16">
        <f t="shared" si="9"/>
        <v>8.2622614995084102E-3</v>
      </c>
      <c r="AK33" s="1">
        <f t="shared" si="10"/>
        <v>2.3713393514165123E-3</v>
      </c>
      <c r="AL33" s="1">
        <f t="shared" si="11"/>
        <v>1.6081930875461392E-2</v>
      </c>
      <c r="AM33" s="1">
        <f t="shared" si="12"/>
        <v>1.8453270226877906E-2</v>
      </c>
      <c r="AN33" s="1">
        <f t="shared" si="13"/>
        <v>1.8453271383862335E-2</v>
      </c>
      <c r="AP33" s="1">
        <f t="shared" si="14"/>
        <v>3.483365456329773E-3</v>
      </c>
      <c r="AQ33" s="1">
        <f t="shared" si="15"/>
        <v>2.362346091427299E-2</v>
      </c>
      <c r="AR33" s="1">
        <f t="shared" si="16"/>
        <v>2.7106826370602764E-2</v>
      </c>
      <c r="AS33" s="1">
        <f t="shared" si="17"/>
        <v>2.7106827527587193E-2</v>
      </c>
      <c r="AU33" s="1">
        <f t="shared" si="18"/>
        <v>3.1314584611040574E-3</v>
      </c>
      <c r="AV33" s="1">
        <f t="shared" si="19"/>
        <v>2.9351205247547616E-2</v>
      </c>
      <c r="AW33" s="1">
        <f t="shared" si="20"/>
        <v>3.2482663708651674E-2</v>
      </c>
      <c r="AX33" s="1">
        <f t="shared" si="21"/>
        <v>3.2482664865636106E-2</v>
      </c>
    </row>
    <row r="34" spans="4:50" x14ac:dyDescent="0.25">
      <c r="D34" s="1">
        <f>D33*'Enter data'!$C$77</f>
        <v>34.922720489139998</v>
      </c>
      <c r="E34">
        <f t="shared" si="2"/>
        <v>3.4922720489139998E-8</v>
      </c>
      <c r="G34" s="1">
        <f t="shared" si="22"/>
        <v>1.1015749923301265E-2</v>
      </c>
      <c r="H34" s="1">
        <f t="shared" si="23"/>
        <v>1.1015749923301265E-2</v>
      </c>
      <c r="I34" s="1">
        <f t="shared" si="24"/>
        <v>4.1576828307226709E-7</v>
      </c>
      <c r="J34" s="1">
        <f t="shared" si="25"/>
        <v>6.1315188019180052E-8</v>
      </c>
      <c r="K34" s="1">
        <f>'Enter data'!$C$86/D34</f>
        <v>8584453.1525895055</v>
      </c>
      <c r="L34" s="1"/>
      <c r="M34" s="24">
        <f>1+(2/PI())*ATAN(1.4*('Enter data'!C$32/G34)^2)</f>
        <v>1</v>
      </c>
      <c r="N34" s="24">
        <f>1+(2/PI())*ATAN(1.4*('Enter data'!D$32/H34)^2)</f>
        <v>1</v>
      </c>
      <c r="O34" s="1">
        <f t="shared" si="3"/>
        <v>4.0238759619602979E-2</v>
      </c>
      <c r="P34" s="1">
        <f t="shared" si="4"/>
        <v>0.2728524618527905</v>
      </c>
      <c r="Q34" s="16">
        <f>8.686*O34/2/'Enter data'!C$46</f>
        <v>3.4851084375073747E-3</v>
      </c>
      <c r="R34" s="16">
        <f>8.686*P34/2/'Enter data'!C$46</f>
        <v>2.3631951530995069E-2</v>
      </c>
      <c r="S34" s="16">
        <f t="shared" si="5"/>
        <v>1.0622739690037109E-3</v>
      </c>
      <c r="T34" s="16">
        <f t="shared" si="6"/>
        <v>7.2031064164213201E-3</v>
      </c>
      <c r="U34">
        <f t="shared" si="0"/>
        <v>0.31309122147239349</v>
      </c>
      <c r="V34">
        <f>U34/(2*'Enter data'!$C$46)</f>
        <v>3.1219272356093077E-3</v>
      </c>
      <c r="W34">
        <f t="shared" si="1"/>
        <v>2.7116685337234173E-2</v>
      </c>
      <c r="Y34" s="1"/>
      <c r="Z34" s="1">
        <f>4*PI()^2*D34*'Enter data'!$C$85*'Enter data'!$E$15*'Enter data'!$E$16/LN('Enter data'!$C$45)</f>
        <v>6.3501000607700053E-12</v>
      </c>
      <c r="AA34" s="16">
        <f>27.28753*'Enter data'!$E$15^0.5*'Enter data'!$E$16*D34/'Enter data'!$C$86</f>
        <v>1.3819186988643434E-9</v>
      </c>
      <c r="AB34" s="16">
        <f t="shared" si="26"/>
        <v>4.2121394137537896E-10</v>
      </c>
      <c r="AC34" s="19"/>
      <c r="AD34">
        <f>2*PI()/'Enter data'!$E$11/LN($C$3/$C$2)</f>
        <v>5.1880404392247992E-18</v>
      </c>
      <c r="AE34" s="14">
        <f>8.686*AD34*'Enter data'!$C$46/2</f>
        <v>1.1298253133715425E-15</v>
      </c>
      <c r="AF34" s="16">
        <f t="shared" si="7"/>
        <v>3.4437494311495441E-16</v>
      </c>
      <c r="AH34" s="1">
        <f t="shared" si="8"/>
        <v>2.7117061350422272E-2</v>
      </c>
      <c r="AI34" s="16">
        <f t="shared" si="9"/>
        <v>8.2653808066393171E-3</v>
      </c>
      <c r="AK34" s="1">
        <f t="shared" si="10"/>
        <v>2.3725259050259577E-3</v>
      </c>
      <c r="AL34" s="1">
        <f t="shared" si="11"/>
        <v>1.6087710956191732E-2</v>
      </c>
      <c r="AM34" s="1">
        <f t="shared" si="12"/>
        <v>1.8460236861217689E-2</v>
      </c>
      <c r="AN34" s="1">
        <f t="shared" si="13"/>
        <v>1.8460238243137517E-2</v>
      </c>
      <c r="AP34" s="1">
        <f t="shared" si="14"/>
        <v>3.4851084375073747E-3</v>
      </c>
      <c r="AQ34" s="1">
        <f t="shared" si="15"/>
        <v>2.3631951530995069E-2</v>
      </c>
      <c r="AR34" s="1">
        <f t="shared" si="16"/>
        <v>2.7117059968502444E-2</v>
      </c>
      <c r="AS34" s="1">
        <f t="shared" si="17"/>
        <v>2.7117061350422272E-2</v>
      </c>
      <c r="AU34" s="1">
        <f t="shared" si="18"/>
        <v>3.133025357608192E-3</v>
      </c>
      <c r="AV34" s="1">
        <f t="shared" si="19"/>
        <v>2.9361754499200129E-2</v>
      </c>
      <c r="AW34" s="1">
        <f t="shared" si="20"/>
        <v>3.249477985680832E-2</v>
      </c>
      <c r="AX34" s="1">
        <f t="shared" si="21"/>
        <v>3.2494781238728149E-2</v>
      </c>
    </row>
    <row r="35" spans="4:50" x14ac:dyDescent="0.25">
      <c r="D35" s="1">
        <f>D34*'Enter data'!$C$77</f>
        <v>41.712236040197936</v>
      </c>
      <c r="E35">
        <f t="shared" si="2"/>
        <v>4.1712236040197939E-8</v>
      </c>
      <c r="G35" s="1">
        <f t="shared" si="22"/>
        <v>1.0079439128553438E-2</v>
      </c>
      <c r="H35" s="1">
        <f t="shared" si="23"/>
        <v>1.0079439128553438E-2</v>
      </c>
      <c r="I35" s="1">
        <f t="shared" si="24"/>
        <v>4.1554107421308565E-7</v>
      </c>
      <c r="J35" s="1">
        <f t="shared" si="25"/>
        <v>6.1291116897568389E-8</v>
      </c>
      <c r="K35" s="1">
        <f>'Enter data'!$C$86/D35</f>
        <v>7187158.6483901525</v>
      </c>
      <c r="L35" s="1"/>
      <c r="M35" s="24">
        <f>1+(2/PI())*ATAN(1.4*('Enter data'!C$32/G35)^2)</f>
        <v>1</v>
      </c>
      <c r="N35" s="24">
        <f>1+(2/PI())*ATAN(1.4*('Enter data'!D$32/H35)^2)</f>
        <v>1</v>
      </c>
      <c r="O35" s="1">
        <f t="shared" si="3"/>
        <v>4.0260761301832253E-2</v>
      </c>
      <c r="P35" s="1">
        <f t="shared" si="4"/>
        <v>0.27295962036325255</v>
      </c>
      <c r="Q35" s="16">
        <f>8.686*O35/2/'Enter data'!C$46</f>
        <v>3.4870140193170892E-3</v>
      </c>
      <c r="R35" s="16">
        <f>8.686*P35/2/'Enter data'!C$46</f>
        <v>2.3641232608058393E-2</v>
      </c>
      <c r="S35" s="16">
        <f t="shared" si="5"/>
        <v>1.0628547974021851E-3</v>
      </c>
      <c r="T35" s="16">
        <f t="shared" si="6"/>
        <v>7.2059353231097266E-3</v>
      </c>
      <c r="U35">
        <f t="shared" si="0"/>
        <v>0.31322038166508481</v>
      </c>
      <c r="V35">
        <f>U35/(2*'Enter data'!$C$46)</f>
        <v>3.1232151309435277E-3</v>
      </c>
      <c r="W35">
        <f t="shared" si="1"/>
        <v>2.7127871841559764E-2</v>
      </c>
      <c r="Y35" s="1"/>
      <c r="Z35" s="1">
        <f>4*PI()^2*D35*'Enter data'!$C$85*'Enter data'!$E$15*'Enter data'!$E$16/LN('Enter data'!$C$45)</f>
        <v>7.5846574637873122E-12</v>
      </c>
      <c r="AA35" s="16">
        <f>27.28753*'Enter data'!$E$15^0.5*'Enter data'!$E$16*D35/'Enter data'!$C$86</f>
        <v>1.6505850102175761E-9</v>
      </c>
      <c r="AB35" s="16">
        <f t="shared" si="26"/>
        <v>5.0310442886417218E-10</v>
      </c>
      <c r="AC35" s="19"/>
      <c r="AD35">
        <f>2*PI()/'Enter data'!$E$11/LN($C$3/$C$2)</f>
        <v>5.1880404392247992E-18</v>
      </c>
      <c r="AE35" s="14">
        <f>8.686*AD35*'Enter data'!$C$46/2</f>
        <v>1.1298253133715425E-15</v>
      </c>
      <c r="AF35" s="16">
        <f t="shared" si="7"/>
        <v>3.4437494311495441E-16</v>
      </c>
      <c r="AH35" s="1">
        <f t="shared" si="8"/>
        <v>2.7128248277961623E-2</v>
      </c>
      <c r="AI35" s="16">
        <f t="shared" si="9"/>
        <v>8.2687906236166859E-3</v>
      </c>
      <c r="AK35" s="1">
        <f t="shared" si="10"/>
        <v>2.373823150804321E-3</v>
      </c>
      <c r="AL35" s="1">
        <f t="shared" si="11"/>
        <v>1.6094029151494438E-2</v>
      </c>
      <c r="AM35" s="1">
        <f t="shared" si="12"/>
        <v>1.8467852302298759E-2</v>
      </c>
      <c r="AN35" s="1">
        <f t="shared" si="13"/>
        <v>1.8467853952884899E-2</v>
      </c>
      <c r="AP35" s="1">
        <f t="shared" si="14"/>
        <v>3.4870140193170892E-3</v>
      </c>
      <c r="AQ35" s="1">
        <f t="shared" si="15"/>
        <v>2.3641232608058393E-2</v>
      </c>
      <c r="AR35" s="1">
        <f t="shared" si="16"/>
        <v>2.7128246627375483E-2</v>
      </c>
      <c r="AS35" s="1">
        <f t="shared" si="17"/>
        <v>2.7128248277961623E-2</v>
      </c>
      <c r="AU35" s="1">
        <f t="shared" si="18"/>
        <v>3.1347384280155802E-3</v>
      </c>
      <c r="AV35" s="1">
        <f t="shared" si="19"/>
        <v>2.9373285866208229E-2</v>
      </c>
      <c r="AW35" s="1">
        <f t="shared" si="20"/>
        <v>3.2508024294223808E-2</v>
      </c>
      <c r="AX35" s="1">
        <f t="shared" si="21"/>
        <v>3.2508025944809948E-2</v>
      </c>
    </row>
    <row r="36" spans="4:50" x14ac:dyDescent="0.25">
      <c r="D36" s="1">
        <f>D35*'Enter data'!$C$77</f>
        <v>49.821738143632075</v>
      </c>
      <c r="E36">
        <f t="shared" si="2"/>
        <v>4.9821738143632075E-8</v>
      </c>
      <c r="G36" s="1">
        <f t="shared" si="22"/>
        <v>9.2227123757878011E-3</v>
      </c>
      <c r="H36" s="1">
        <f t="shared" si="23"/>
        <v>9.2227123757878011E-3</v>
      </c>
      <c r="I36" s="1">
        <f t="shared" si="24"/>
        <v>4.1529294499543724E-7</v>
      </c>
      <c r="J36" s="1">
        <f t="shared" si="25"/>
        <v>6.126482595620668E-8</v>
      </c>
      <c r="K36" s="1">
        <f>'Enter data'!$C$86/D36</f>
        <v>6017302.2694576085</v>
      </c>
      <c r="L36" s="1"/>
      <c r="M36" s="24">
        <f>1+(2/PI())*ATAN(1.4*('Enter data'!C$32/G36)^2)</f>
        <v>1</v>
      </c>
      <c r="N36" s="24">
        <f>1+(2/PI())*ATAN(1.4*('Enter data'!D$32/H36)^2)</f>
        <v>1</v>
      </c>
      <c r="O36" s="1">
        <f t="shared" si="3"/>
        <v>4.028481630041611E-2</v>
      </c>
      <c r="P36" s="1">
        <f t="shared" si="4"/>
        <v>0.27307675715848667</v>
      </c>
      <c r="Q36" s="16">
        <f>8.686*O36/2/'Enter data'!C$46</f>
        <v>3.4890974403599183E-3</v>
      </c>
      <c r="R36" s="16">
        <f>8.686*P36/2/'Enter data'!C$46</f>
        <v>2.3651377911672922E-2</v>
      </c>
      <c r="S36" s="16">
        <f t="shared" si="5"/>
        <v>1.0634898318580585E-3</v>
      </c>
      <c r="T36" s="16">
        <f t="shared" si="6"/>
        <v>7.2090276492541216E-3</v>
      </c>
      <c r="U36">
        <f t="shared" si="0"/>
        <v>0.31336157345890281</v>
      </c>
      <c r="V36">
        <f>U36/(2*'Enter data'!$C$46)</f>
        <v>3.1246229970104586E-3</v>
      </c>
      <c r="W36">
        <f t="shared" si="1"/>
        <v>2.7140100397273201E-2</v>
      </c>
      <c r="Y36" s="1"/>
      <c r="Z36" s="1">
        <f>4*PI()^2*D36*'Enter data'!$C$85*'Enter data'!$E$15*'Enter data'!$E$16/LN('Enter data'!$C$45)</f>
        <v>9.059231869176074E-12</v>
      </c>
      <c r="AA36" s="16">
        <f>27.28753*'Enter data'!$E$15^0.5*'Enter data'!$E$16*D36/'Enter data'!$C$86</f>
        <v>1.9714841967142388E-9</v>
      </c>
      <c r="AB36" s="16">
        <f t="shared" si="26"/>
        <v>6.0091569029329391E-10</v>
      </c>
      <c r="AC36" s="19"/>
      <c r="AD36">
        <f>2*PI()/'Enter data'!$E$11/LN($C$3/$C$2)</f>
        <v>5.1880404392247992E-18</v>
      </c>
      <c r="AE36" s="14">
        <f>8.686*AD36*'Enter data'!$C$46/2</f>
        <v>1.1298253133715425E-15</v>
      </c>
      <c r="AF36" s="16">
        <f t="shared" si="7"/>
        <v>3.4437494311495441E-16</v>
      </c>
      <c r="AH36" s="1">
        <f t="shared" si="8"/>
        <v>2.714047732351817E-2</v>
      </c>
      <c r="AI36" s="16">
        <f t="shared" si="9"/>
        <v>8.2725180820282154E-3</v>
      </c>
      <c r="AK36" s="1">
        <f t="shared" si="10"/>
        <v>2.3752414625968581E-3</v>
      </c>
      <c r="AL36" s="1">
        <f t="shared" si="11"/>
        <v>1.6100935678528369E-2</v>
      </c>
      <c r="AM36" s="1">
        <f t="shared" si="12"/>
        <v>1.8476177141125226E-2</v>
      </c>
      <c r="AN36" s="1">
        <f t="shared" si="13"/>
        <v>1.8476179112610555E-2</v>
      </c>
      <c r="AP36" s="1">
        <f t="shared" si="14"/>
        <v>3.4890974403599183E-3</v>
      </c>
      <c r="AQ36" s="1">
        <f t="shared" si="15"/>
        <v>2.3651377911672922E-2</v>
      </c>
      <c r="AR36" s="1">
        <f t="shared" si="16"/>
        <v>2.7140475352032841E-2</v>
      </c>
      <c r="AS36" s="1">
        <f t="shared" si="17"/>
        <v>2.714047732351817E-2</v>
      </c>
      <c r="AU36" s="1">
        <f t="shared" si="18"/>
        <v>3.1366113714475573E-3</v>
      </c>
      <c r="AV36" s="1">
        <f t="shared" si="19"/>
        <v>2.9385891000137138E-2</v>
      </c>
      <c r="AW36" s="1">
        <f t="shared" si="20"/>
        <v>3.2522502371584695E-2</v>
      </c>
      <c r="AX36" s="1">
        <f t="shared" si="21"/>
        <v>3.2522504343070024E-2</v>
      </c>
    </row>
    <row r="37" spans="4:50" x14ac:dyDescent="0.25">
      <c r="D37" s="1">
        <f>D36*'Enter data'!$C$77</f>
        <v>59.507852546206117</v>
      </c>
      <c r="E37">
        <f t="shared" si="2"/>
        <v>5.9507852546206117E-8</v>
      </c>
      <c r="G37" s="1">
        <f t="shared" si="22"/>
        <v>8.4388052233534058E-3</v>
      </c>
      <c r="H37" s="1">
        <f t="shared" si="23"/>
        <v>8.4388052233534058E-3</v>
      </c>
      <c r="I37" s="1">
        <f t="shared" si="24"/>
        <v>4.1502198798735685E-7</v>
      </c>
      <c r="J37" s="1">
        <f t="shared" si="25"/>
        <v>6.1236112128043789E-8</v>
      </c>
      <c r="K37" s="1">
        <f>'Enter data'!$C$86/D37</f>
        <v>5037863.830949367</v>
      </c>
      <c r="L37" s="1"/>
      <c r="M37" s="24">
        <f>1+(2/PI())*ATAN(1.4*('Enter data'!C$32/G37)^2)</f>
        <v>1</v>
      </c>
      <c r="N37" s="24">
        <f>1+(2/PI())*ATAN(1.4*('Enter data'!D$32/H37)^2)</f>
        <v>1</v>
      </c>
      <c r="O37" s="1">
        <f t="shared" si="3"/>
        <v>4.0311117204011038E-2</v>
      </c>
      <c r="P37" s="1">
        <f t="shared" si="4"/>
        <v>0.2732048038095205</v>
      </c>
      <c r="Q37" s="16">
        <f>8.686*O37/2/'Enter data'!C$46</f>
        <v>3.4913753808804332E-3</v>
      </c>
      <c r="R37" s="16">
        <f>8.686*P37/2/'Enter data'!C$46</f>
        <v>2.3662468125887556E-2</v>
      </c>
      <c r="S37" s="16">
        <f t="shared" si="5"/>
        <v>1.0641841565717E-3</v>
      </c>
      <c r="T37" s="16">
        <f t="shared" si="6"/>
        <v>7.2124079876516563E-3</v>
      </c>
      <c r="U37">
        <f t="shared" si="0"/>
        <v>0.31351592101353154</v>
      </c>
      <c r="V37">
        <f>U37/(2*'Enter data'!$C$46)</f>
        <v>3.126162043146211E-3</v>
      </c>
      <c r="W37">
        <f t="shared" si="1"/>
        <v>2.7153468367322808E-2</v>
      </c>
      <c r="Y37" s="1"/>
      <c r="Z37" s="1">
        <f>4*PI()^2*D37*'Enter data'!$C$85*'Enter data'!$E$15*'Enter data'!$E$16/LN('Enter data'!$C$45)</f>
        <v>1.0820486284493973E-11</v>
      </c>
      <c r="AA37" s="16">
        <f>27.28753*'Enter data'!$E$15^0.5*'Enter data'!$E$16*D37/'Enter data'!$C$86</f>
        <v>2.3547711349817999E-9</v>
      </c>
      <c r="AB37" s="16">
        <f t="shared" si="26"/>
        <v>7.1774296969696408E-10</v>
      </c>
      <c r="AC37" s="19"/>
      <c r="AD37">
        <f>2*PI()/'Enter data'!$E$11/LN($C$3/$C$2)</f>
        <v>5.1880404392247992E-18</v>
      </c>
      <c r="AE37" s="14">
        <f>8.686*AD37*'Enter data'!$C$46/2</f>
        <v>1.1298253133715425E-15</v>
      </c>
      <c r="AF37" s="16">
        <f t="shared" si="7"/>
        <v>3.4437494311495441E-16</v>
      </c>
      <c r="AH37" s="1">
        <f t="shared" si="8"/>
        <v>2.7153845861540255E-2</v>
      </c>
      <c r="AI37" s="16">
        <f t="shared" si="9"/>
        <v>8.2765928619666709E-3</v>
      </c>
      <c r="AK37" s="1">
        <f t="shared" si="10"/>
        <v>2.3767921956635444E-3</v>
      </c>
      <c r="AL37" s="1">
        <f t="shared" si="11"/>
        <v>1.6108485463847338E-2</v>
      </c>
      <c r="AM37" s="1">
        <f t="shared" si="12"/>
        <v>1.8485277659510881E-2</v>
      </c>
      <c r="AN37" s="1">
        <f t="shared" si="13"/>
        <v>1.8485280014283147E-2</v>
      </c>
      <c r="AP37" s="1">
        <f t="shared" si="14"/>
        <v>3.4913753808804332E-3</v>
      </c>
      <c r="AQ37" s="1">
        <f t="shared" si="15"/>
        <v>2.3662468125887556E-2</v>
      </c>
      <c r="AR37" s="1">
        <f t="shared" si="16"/>
        <v>2.7153843506767989E-2</v>
      </c>
      <c r="AS37" s="1">
        <f t="shared" si="17"/>
        <v>2.7153845861540255E-2</v>
      </c>
      <c r="AU37" s="1">
        <f t="shared" si="18"/>
        <v>3.1386591830269875E-3</v>
      </c>
      <c r="AV37" s="1">
        <f t="shared" si="19"/>
        <v>2.9399670147690252E-2</v>
      </c>
      <c r="AW37" s="1">
        <f t="shared" si="20"/>
        <v>3.2538329330717236E-2</v>
      </c>
      <c r="AX37" s="1">
        <f t="shared" si="21"/>
        <v>3.2538331685489502E-2</v>
      </c>
    </row>
    <row r="38" spans="4:50" x14ac:dyDescent="0.25">
      <c r="D38" s="1">
        <f>D37*'Enter data'!$C$77</f>
        <v>71.077096998343549</v>
      </c>
      <c r="E38">
        <f t="shared" si="2"/>
        <v>7.1077096998343551E-8</v>
      </c>
      <c r="G38" s="1">
        <f t="shared" si="22"/>
        <v>7.7215281899771599E-3</v>
      </c>
      <c r="H38" s="1">
        <f t="shared" si="23"/>
        <v>7.7215281899771599E-3</v>
      </c>
      <c r="I38" s="1">
        <f t="shared" si="24"/>
        <v>4.1472612549480497E-7</v>
      </c>
      <c r="J38" s="1">
        <f t="shared" si="25"/>
        <v>6.1204754088071566E-8</v>
      </c>
      <c r="K38" s="1">
        <f>'Enter data'!$C$86/D38</f>
        <v>4217848.9367255205</v>
      </c>
      <c r="L38" s="1"/>
      <c r="M38" s="24">
        <f>1+(2/PI())*ATAN(1.4*('Enter data'!C$32/G38)^2)</f>
        <v>1</v>
      </c>
      <c r="N38" s="24">
        <f>1+(2/PI())*ATAN(1.4*('Enter data'!D$32/H38)^2)</f>
        <v>1</v>
      </c>
      <c r="O38" s="1">
        <f t="shared" si="3"/>
        <v>4.0339874851239792E-2</v>
      </c>
      <c r="P38" s="1">
        <f t="shared" si="4"/>
        <v>0.27334477932753554</v>
      </c>
      <c r="Q38" s="16">
        <f>8.686*O38/2/'Enter data'!C$46</f>
        <v>3.493866101766148E-3</v>
      </c>
      <c r="R38" s="16">
        <f>8.686*P38/2/'Enter data'!C$46</f>
        <v>2.3674591508006947E-2</v>
      </c>
      <c r="S38" s="16">
        <f t="shared" si="5"/>
        <v>1.0649433375293062E-3</v>
      </c>
      <c r="T38" s="16">
        <f t="shared" si="6"/>
        <v>7.2161032394559088E-3</v>
      </c>
      <c r="U38">
        <f t="shared" si="0"/>
        <v>0.31368465417877534</v>
      </c>
      <c r="V38">
        <f>U38/(2*'Enter data'!$C$46)</f>
        <v>3.127844532555042E-3</v>
      </c>
      <c r="W38">
        <f t="shared" si="1"/>
        <v>2.7168082268429185E-2</v>
      </c>
      <c r="Y38" s="1"/>
      <c r="Z38" s="1">
        <f>4*PI()^2*D38*'Enter data'!$C$85*'Enter data'!$E$15*'Enter data'!$E$16/LN('Enter data'!$C$45)</f>
        <v>1.2924155725751472E-11</v>
      </c>
      <c r="AA38" s="16">
        <f>27.28753*'Enter data'!$E$15^0.5*'Enter data'!$E$16*D38/'Enter data'!$C$86</f>
        <v>2.8125749663045354E-9</v>
      </c>
      <c r="AB38" s="16">
        <f t="shared" si="26"/>
        <v>8.5728327429423779E-10</v>
      </c>
      <c r="AC38" s="19"/>
      <c r="AD38">
        <f>2*PI()/'Enter data'!$E$11/LN($C$3/$C$2)</f>
        <v>5.1880404392247992E-18</v>
      </c>
      <c r="AE38" s="14">
        <f>8.686*AD38*'Enter data'!$C$46/2</f>
        <v>1.1298253133715425E-15</v>
      </c>
      <c r="AF38" s="16">
        <f t="shared" si="7"/>
        <v>3.4437494311495441E-16</v>
      </c>
      <c r="AH38" s="1">
        <f t="shared" si="8"/>
        <v>2.7168460422349192E-2</v>
      </c>
      <c r="AI38" s="16">
        <f t="shared" si="9"/>
        <v>8.2810474342688341E-3</v>
      </c>
      <c r="AK38" s="1">
        <f t="shared" si="10"/>
        <v>2.3784877813044247E-3</v>
      </c>
      <c r="AL38" s="1">
        <f t="shared" si="11"/>
        <v>1.6116738589582316E-2</v>
      </c>
      <c r="AM38" s="1">
        <f t="shared" si="12"/>
        <v>1.8495226370886741E-2</v>
      </c>
      <c r="AN38" s="1">
        <f t="shared" si="13"/>
        <v>1.8495229183462837E-2</v>
      </c>
      <c r="AP38" s="1">
        <f t="shared" si="14"/>
        <v>3.493866101766148E-3</v>
      </c>
      <c r="AQ38" s="1">
        <f t="shared" si="15"/>
        <v>2.3674591508006947E-2</v>
      </c>
      <c r="AR38" s="1">
        <f t="shared" si="16"/>
        <v>2.7168457609773097E-2</v>
      </c>
      <c r="AS38" s="1">
        <f t="shared" si="17"/>
        <v>2.7168460422349192E-2</v>
      </c>
      <c r="AU38" s="1">
        <f t="shared" si="18"/>
        <v>3.1408982788352227E-3</v>
      </c>
      <c r="AV38" s="1">
        <f t="shared" si="19"/>
        <v>2.9414732965038309E-2</v>
      </c>
      <c r="AW38" s="1">
        <f t="shared" si="20"/>
        <v>3.2555631243873534E-2</v>
      </c>
      <c r="AX38" s="1">
        <f t="shared" si="21"/>
        <v>3.255563405644963E-2</v>
      </c>
    </row>
    <row r="39" spans="4:50" x14ac:dyDescent="0.25">
      <c r="D39" s="1">
        <f>D38*'Enter data'!$C$77</f>
        <v>84.895581029230428</v>
      </c>
      <c r="E39">
        <f t="shared" si="2"/>
        <v>8.4895581029230429E-8</v>
      </c>
      <c r="G39" s="1">
        <f t="shared" si="22"/>
        <v>7.0652178845904698E-3</v>
      </c>
      <c r="H39" s="1">
        <f t="shared" si="23"/>
        <v>7.0652178845904698E-3</v>
      </c>
      <c r="I39" s="1">
        <f t="shared" si="24"/>
        <v>4.1440309507394752E-7</v>
      </c>
      <c r="J39" s="1">
        <f t="shared" si="25"/>
        <v>6.1170510673654999E-8</v>
      </c>
      <c r="K39" s="1">
        <f>'Enter data'!$C$86/D39</f>
        <v>3531308.1595705007</v>
      </c>
      <c r="L39" s="1"/>
      <c r="M39" s="24">
        <f>1+(2/PI())*ATAN(1.4*('Enter data'!C$32/G39)^2)</f>
        <v>1</v>
      </c>
      <c r="N39" s="24">
        <f>1+(2/PI())*ATAN(1.4*('Enter data'!D$32/H39)^2)</f>
        <v>1</v>
      </c>
      <c r="O39" s="1">
        <f t="shared" si="3"/>
        <v>4.0371320095991661E-2</v>
      </c>
      <c r="P39" s="1">
        <f t="shared" si="4"/>
        <v>0.27349779846133115</v>
      </c>
      <c r="Q39" s="16">
        <f>8.686*O39/2/'Enter data'!C$46</f>
        <v>3.4965895974414679E-3</v>
      </c>
      <c r="R39" s="16">
        <f>8.686*P39/2/'Enter data'!C$46</f>
        <v>2.3687844607240934E-2</v>
      </c>
      <c r="S39" s="16">
        <f t="shared" si="5"/>
        <v>1.0657734691055436E-3</v>
      </c>
      <c r="T39" s="16">
        <f t="shared" si="6"/>
        <v>7.220142833223888E-3</v>
      </c>
      <c r="U39">
        <f t="shared" si="0"/>
        <v>0.3138691185573228</v>
      </c>
      <c r="V39">
        <f>U39/(2*'Enter data'!$C$46)</f>
        <v>3.1296838826482152E-3</v>
      </c>
      <c r="W39">
        <f t="shared" si="1"/>
        <v>2.7184058642616478E-2</v>
      </c>
      <c r="Y39" s="1"/>
      <c r="Z39" s="1">
        <f>4*PI()^2*D39*'Enter data'!$C$85*'Enter data'!$E$15*'Enter data'!$E$16/LN('Enter data'!$C$45)</f>
        <v>1.543681095579209E-11</v>
      </c>
      <c r="AA39" s="16">
        <f>27.28753*'Enter data'!$E$15^0.5*'Enter data'!$E$16*D39/'Enter data'!$C$86</f>
        <v>3.3593829241261273E-9</v>
      </c>
      <c r="AB39" s="16">
        <f t="shared" si="26"/>
        <v>1.0239523665344205E-9</v>
      </c>
      <c r="AC39" s="19"/>
      <c r="AD39">
        <f>2*PI()/'Enter data'!$E$11/LN($C$3/$C$2)</f>
        <v>5.1880404392247992E-18</v>
      </c>
      <c r="AE39" s="14">
        <f>8.686*AD39*'Enter data'!$C$46/2</f>
        <v>1.1298253133715425E-15</v>
      </c>
      <c r="AF39" s="16">
        <f t="shared" si="7"/>
        <v>3.4437494311495441E-16</v>
      </c>
      <c r="AH39" s="1">
        <f t="shared" si="8"/>
        <v>2.7184437564066459E-2</v>
      </c>
      <c r="AI39" s="16">
        <f t="shared" si="9"/>
        <v>8.2859173262821439E-3</v>
      </c>
      <c r="AK39" s="1">
        <f t="shared" si="10"/>
        <v>2.3803418309438508E-3</v>
      </c>
      <c r="AL39" s="1">
        <f t="shared" si="11"/>
        <v>1.6125760782669946E-2</v>
      </c>
      <c r="AM39" s="1">
        <f t="shared" si="12"/>
        <v>1.8506102613613795E-2</v>
      </c>
      <c r="AN39" s="1">
        <f t="shared" si="13"/>
        <v>1.8506105972997851E-2</v>
      </c>
      <c r="AP39" s="1">
        <f t="shared" si="14"/>
        <v>3.4965895974414679E-3</v>
      </c>
      <c r="AQ39" s="1">
        <f t="shared" si="15"/>
        <v>2.3687844607240934E-2</v>
      </c>
      <c r="AR39" s="1">
        <f t="shared" si="16"/>
        <v>2.7184434204682403E-2</v>
      </c>
      <c r="AS39" s="1">
        <f t="shared" si="17"/>
        <v>2.7184437564066459E-2</v>
      </c>
      <c r="AU39" s="1">
        <f t="shared" si="18"/>
        <v>3.1433466333599435E-3</v>
      </c>
      <c r="AV39" s="1">
        <f t="shared" si="19"/>
        <v>2.943119941071257E-2</v>
      </c>
      <c r="AW39" s="1">
        <f t="shared" si="20"/>
        <v>3.2574546044072512E-2</v>
      </c>
      <c r="AX39" s="1">
        <f t="shared" si="21"/>
        <v>3.2574549403456568E-2</v>
      </c>
    </row>
    <row r="40" spans="4:50" x14ac:dyDescent="0.25">
      <c r="D40" s="1">
        <f>D39*'Enter data'!$C$77</f>
        <v>101.40059150781853</v>
      </c>
      <c r="E40">
        <f t="shared" si="2"/>
        <v>1.0140059150781853E-7</v>
      </c>
      <c r="G40" s="1">
        <f t="shared" si="22"/>
        <v>6.464692289996638E-3</v>
      </c>
      <c r="H40" s="1">
        <f t="shared" si="23"/>
        <v>6.464692289996638E-3</v>
      </c>
      <c r="I40" s="1">
        <f t="shared" si="24"/>
        <v>4.1405043395115941E-7</v>
      </c>
      <c r="J40" s="1">
        <f t="shared" si="25"/>
        <v>6.1133119180569177E-8</v>
      </c>
      <c r="K40" s="1">
        <f>'Enter data'!$C$86/D40</f>
        <v>2956515.8698002701</v>
      </c>
      <c r="L40" s="1"/>
      <c r="M40" s="24">
        <f>1+(2/PI())*ATAN(1.4*('Enter data'!C$32/G40)^2)</f>
        <v>1</v>
      </c>
      <c r="N40" s="24">
        <f>1+(2/PI())*ATAN(1.4*('Enter data'!D$32/H40)^2)</f>
        <v>1</v>
      </c>
      <c r="O40" s="1">
        <f t="shared" si="3"/>
        <v>4.0405705750264809E-2</v>
      </c>
      <c r="P40" s="1">
        <f t="shared" si="4"/>
        <v>0.27366508079825802</v>
      </c>
      <c r="Q40" s="16">
        <f>8.686*O40/2/'Enter data'!C$46</f>
        <v>3.4995677641386884E-3</v>
      </c>
      <c r="R40" s="16">
        <f>8.686*P40/2/'Enter data'!C$46</f>
        <v>2.3702333052943066E-2</v>
      </c>
      <c r="S40" s="16">
        <f t="shared" si="5"/>
        <v>1.0666812253531724E-3</v>
      </c>
      <c r="T40" s="16">
        <f t="shared" si="6"/>
        <v>7.2245589651740629E-3</v>
      </c>
      <c r="U40">
        <f t="shared" si="0"/>
        <v>0.31407078654852283</v>
      </c>
      <c r="V40">
        <f>U40/(2*'Enter data'!$C$46)</f>
        <v>3.1316947751648346E-3</v>
      </c>
      <c r="W40">
        <f t="shared" si="1"/>
        <v>2.7201525013708733E-2</v>
      </c>
      <c r="Y40" s="1"/>
      <c r="Z40" s="1">
        <f>4*PI()^2*D40*'Enter data'!$C$85*'Enter data'!$E$15*'Enter data'!$E$16/LN('Enter data'!$C$45)</f>
        <v>1.8437965120619662E-11</v>
      </c>
      <c r="AA40" s="16">
        <f>27.28753*'Enter data'!$E$15^0.5*'Enter data'!$E$16*D40/'Enter data'!$C$86</f>
        <v>4.0124987835393614E-9</v>
      </c>
      <c r="AB40" s="16">
        <f t="shared" si="26"/>
        <v>1.2230245012007318E-9</v>
      </c>
      <c r="AC40" s="19"/>
      <c r="AD40">
        <f>2*PI()/'Enter data'!$E$11/LN($C$3/$C$2)</f>
        <v>5.1880404392247992E-18</v>
      </c>
      <c r="AE40" s="14">
        <f>8.686*AD40*'Enter data'!$C$46/2</f>
        <v>1.1298253133715425E-15</v>
      </c>
      <c r="AF40" s="16">
        <f t="shared" si="7"/>
        <v>3.4437494311495441E-16</v>
      </c>
      <c r="AH40" s="1">
        <f t="shared" si="8"/>
        <v>2.720190482958167E-2</v>
      </c>
      <c r="AI40" s="16">
        <f t="shared" si="9"/>
        <v>8.291241413552081E-3</v>
      </c>
      <c r="AK40" s="1">
        <f t="shared" si="10"/>
        <v>2.3823692506828175E-3</v>
      </c>
      <c r="AL40" s="1">
        <f t="shared" si="11"/>
        <v>1.6135623951454573E-2</v>
      </c>
      <c r="AM40" s="1">
        <f t="shared" si="12"/>
        <v>1.851799320213739E-2</v>
      </c>
      <c r="AN40" s="1">
        <f t="shared" si="13"/>
        <v>1.8517997214637306E-2</v>
      </c>
      <c r="AP40" s="1">
        <f t="shared" si="14"/>
        <v>3.4995677641386884E-3</v>
      </c>
      <c r="AQ40" s="1">
        <f t="shared" si="15"/>
        <v>2.3702333052943066E-2</v>
      </c>
      <c r="AR40" s="1">
        <f t="shared" si="16"/>
        <v>2.7201900817081754E-2</v>
      </c>
      <c r="AS40" s="1">
        <f t="shared" si="17"/>
        <v>2.720190482958167E-2</v>
      </c>
      <c r="AU40" s="1">
        <f t="shared" si="18"/>
        <v>3.1460239307665775E-3</v>
      </c>
      <c r="AV40" s="1">
        <f t="shared" si="19"/>
        <v>2.9449200724959639E-2</v>
      </c>
      <c r="AW40" s="1">
        <f t="shared" si="20"/>
        <v>3.2595224655726215E-2</v>
      </c>
      <c r="AX40" s="1">
        <f t="shared" si="21"/>
        <v>3.2595228668226131E-2</v>
      </c>
    </row>
    <row r="41" spans="4:50" x14ac:dyDescent="0.25">
      <c r="D41" s="1">
        <f>D40*'Enter data'!$C$77</f>
        <v>121.11443061559652</v>
      </c>
      <c r="E41">
        <f t="shared" si="2"/>
        <v>1.2111443061559653E-7</v>
      </c>
      <c r="G41" s="1">
        <f t="shared" si="22"/>
        <v>5.9152098473130698E-3</v>
      </c>
      <c r="H41" s="1">
        <f t="shared" si="23"/>
        <v>5.9152098473130698E-3</v>
      </c>
      <c r="I41" s="1">
        <f t="shared" si="24"/>
        <v>4.1366546229479936E-7</v>
      </c>
      <c r="J41" s="1">
        <f t="shared" si="25"/>
        <v>6.1092293526674558E-8</v>
      </c>
      <c r="K41" s="1">
        <f>'Enter data'!$C$86/D41</f>
        <v>2475282.7262302646</v>
      </c>
      <c r="L41" s="1"/>
      <c r="M41" s="24">
        <f>1+(2/PI())*ATAN(1.4*('Enter data'!C$32/G41)^2)</f>
        <v>1</v>
      </c>
      <c r="N41" s="24">
        <f>1+(2/PI())*ATAN(1.4*('Enter data'!D$32/H41)^2)</f>
        <v>1</v>
      </c>
      <c r="O41" s="1">
        <f t="shared" si="3"/>
        <v>4.0443308723891819E-2</v>
      </c>
      <c r="P41" s="1">
        <f t="shared" si="4"/>
        <v>0.27384796075294227</v>
      </c>
      <c r="Q41" s="16">
        <f>8.686*O41/2/'Enter data'!C$46</f>
        <v>3.5028245852211904E-3</v>
      </c>
      <c r="R41" s="16">
        <f>8.686*P41/2/'Enter data'!C$46</f>
        <v>2.37181724197413E-2</v>
      </c>
      <c r="S41" s="16">
        <f t="shared" si="5"/>
        <v>1.0676739164902434E-3</v>
      </c>
      <c r="T41" s="16">
        <f t="shared" si="6"/>
        <v>7.2293868628814009E-3</v>
      </c>
      <c r="U41">
        <f t="shared" si="0"/>
        <v>0.31429126947683406</v>
      </c>
      <c r="V41">
        <f>U41/(2*'Enter data'!$C$46)</f>
        <v>3.1338932771082769E-3</v>
      </c>
      <c r="W41">
        <f t="shared" si="1"/>
        <v>2.7220620937769238E-2</v>
      </c>
      <c r="Y41" s="1"/>
      <c r="Z41" s="1">
        <f>4*PI()^2*D41*'Enter data'!$C$85*'Enter data'!$E$15*'Enter data'!$E$16/LN('Enter data'!$C$45)</f>
        <v>2.2022589948322878E-11</v>
      </c>
      <c r="AA41" s="16">
        <f>27.28753*'Enter data'!$E$15^0.5*'Enter data'!$E$16*D41/'Enter data'!$C$86</f>
        <v>4.7925904404282725E-9</v>
      </c>
      <c r="AB41" s="16">
        <f t="shared" si="26"/>
        <v>1.4607993295623849E-9</v>
      </c>
      <c r="AC41" s="19"/>
      <c r="AD41">
        <f>2*PI()/'Enter data'!$E$11/LN($C$3/$C$2)</f>
        <v>5.1880404392247992E-18</v>
      </c>
      <c r="AE41" s="14">
        <f>8.686*AD41*'Enter data'!$C$46/2</f>
        <v>1.1298253133715425E-15</v>
      </c>
      <c r="AF41" s="16">
        <f t="shared" si="7"/>
        <v>3.4437494311495441E-16</v>
      </c>
      <c r="AH41" s="1">
        <f t="shared" si="8"/>
        <v>2.7221001797554059E-2</v>
      </c>
      <c r="AI41" s="16">
        <f t="shared" si="9"/>
        <v>8.2970622401713177E-3</v>
      </c>
      <c r="AK41" s="1">
        <f t="shared" si="10"/>
        <v>2.3845863674597624E-3</v>
      </c>
      <c r="AL41" s="1">
        <f t="shared" si="11"/>
        <v>1.6146406774635507E-2</v>
      </c>
      <c r="AM41" s="1">
        <f t="shared" si="12"/>
        <v>1.8530993142095269E-2</v>
      </c>
      <c r="AN41" s="1">
        <f t="shared" si="13"/>
        <v>1.8530997934686839E-2</v>
      </c>
      <c r="AP41" s="1">
        <f t="shared" si="14"/>
        <v>3.5028245852211904E-3</v>
      </c>
      <c r="AQ41" s="1">
        <f t="shared" si="15"/>
        <v>2.37181724197413E-2</v>
      </c>
      <c r="AR41" s="1">
        <f t="shared" si="16"/>
        <v>2.7220997004962489E-2</v>
      </c>
      <c r="AS41" s="1">
        <f t="shared" si="17"/>
        <v>2.7221001797554059E-2</v>
      </c>
      <c r="AU41" s="1">
        <f t="shared" si="18"/>
        <v>3.1489517314992194E-3</v>
      </c>
      <c r="AV41" s="1">
        <f t="shared" si="19"/>
        <v>2.9468880504631773E-2</v>
      </c>
      <c r="AW41" s="1">
        <f t="shared" si="20"/>
        <v>3.2617832236130989E-2</v>
      </c>
      <c r="AX41" s="1">
        <f t="shared" si="21"/>
        <v>3.2617837028722563E-2</v>
      </c>
    </row>
    <row r="42" spans="4:50" x14ac:dyDescent="0.25">
      <c r="D42" s="1">
        <f>D41*'Enter data'!$C$77</f>
        <v>144.66094413472041</v>
      </c>
      <c r="E42">
        <f t="shared" si="2"/>
        <v>1.4466094413472041E-7</v>
      </c>
      <c r="G42" s="1">
        <f t="shared" si="22"/>
        <v>5.4124320181320983E-3</v>
      </c>
      <c r="H42" s="1">
        <f t="shared" si="23"/>
        <v>5.4124320181320983E-3</v>
      </c>
      <c r="I42" s="1">
        <f t="shared" si="24"/>
        <v>4.1324526529058614E-7</v>
      </c>
      <c r="J42" s="1">
        <f t="shared" si="25"/>
        <v>6.1047722276661345E-8</v>
      </c>
      <c r="K42" s="1">
        <f>'Enter data'!$C$86/D42</f>
        <v>2072380.0732339208</v>
      </c>
      <c r="L42" s="1"/>
      <c r="M42" s="24">
        <f>1+(2/PI())*ATAN(1.4*('Enter data'!C$32/G42)^2)</f>
        <v>1</v>
      </c>
      <c r="N42" s="24">
        <f>1+(2/PI())*ATAN(1.4*('Enter data'!D$32/H42)^2)</f>
        <v>1</v>
      </c>
      <c r="O42" s="1">
        <f t="shared" si="3"/>
        <v>4.0484432382391085E-2</v>
      </c>
      <c r="P42" s="1">
        <f t="shared" si="4"/>
        <v>0.27404789853062073</v>
      </c>
      <c r="Q42" s="16">
        <f>8.686*O42/2/'Enter data'!C$46</f>
        <v>3.5063863353986769E-3</v>
      </c>
      <c r="R42" s="16">
        <f>8.686*P42/2/'Enter data'!C$46</f>
        <v>2.3735489177080519E-2</v>
      </c>
      <c r="S42" s="16">
        <f t="shared" si="5"/>
        <v>1.0687595511456587E-3</v>
      </c>
      <c r="T42" s="16">
        <f t="shared" si="6"/>
        <v>7.2346650747014503E-3</v>
      </c>
      <c r="U42">
        <f t="shared" si="0"/>
        <v>0.3145323309130118</v>
      </c>
      <c r="V42">
        <f>U42/(2*'Enter data'!$C$46)</f>
        <v>3.1362969735757766E-3</v>
      </c>
      <c r="W42">
        <f t="shared" si="1"/>
        <v>2.7241499156842364E-2</v>
      </c>
      <c r="Y42" s="1"/>
      <c r="Z42" s="1">
        <f>4*PI()^2*D42*'Enter data'!$C$85*'Enter data'!$E$15*'Enter data'!$E$16/LN('Enter data'!$C$45)</f>
        <v>2.6304121135883363E-11</v>
      </c>
      <c r="AA42" s="16">
        <f>27.28753*'Enter data'!$E$15^0.5*'Enter data'!$E$16*D42/'Enter data'!$C$86</f>
        <v>5.7243439484420088E-9</v>
      </c>
      <c r="AB42" s="16">
        <f t="shared" si="26"/>
        <v>1.7448012522683517E-9</v>
      </c>
      <c r="AC42" s="19"/>
      <c r="AD42">
        <f>2*PI()/'Enter data'!$E$11/LN($C$3/$C$2)</f>
        <v>5.1880404392247992E-18</v>
      </c>
      <c r="AE42" s="14">
        <f>8.686*AD42*'Enter data'!$C$46/2</f>
        <v>1.1298253133715425E-15</v>
      </c>
      <c r="AF42" s="16">
        <f t="shared" si="7"/>
        <v>3.4437494311495441E-16</v>
      </c>
      <c r="AH42" s="1">
        <f t="shared" si="8"/>
        <v>2.7241881236824275E-2</v>
      </c>
      <c r="AI42" s="16">
        <f t="shared" si="9"/>
        <v>8.3034263706487053E-3</v>
      </c>
      <c r="AK42" s="1">
        <f t="shared" si="10"/>
        <v>2.3870110680723386E-3</v>
      </c>
      <c r="AL42" s="1">
        <f t="shared" si="11"/>
        <v>1.6158195347678511E-2</v>
      </c>
      <c r="AM42" s="1">
        <f t="shared" si="12"/>
        <v>1.8545206415750849E-2</v>
      </c>
      <c r="AN42" s="1">
        <f t="shared" si="13"/>
        <v>1.8545212140095926E-2</v>
      </c>
      <c r="AP42" s="1">
        <f t="shared" si="14"/>
        <v>3.5063863353986769E-3</v>
      </c>
      <c r="AQ42" s="1">
        <f t="shared" si="15"/>
        <v>2.3735489177080519E-2</v>
      </c>
      <c r="AR42" s="1">
        <f t="shared" si="16"/>
        <v>2.7241875512479197E-2</v>
      </c>
      <c r="AS42" s="1">
        <f t="shared" si="17"/>
        <v>2.7241881236824275E-2</v>
      </c>
      <c r="AU42" s="1">
        <f t="shared" si="18"/>
        <v>3.1521536558650255E-3</v>
      </c>
      <c r="AV42" s="1">
        <f t="shared" si="19"/>
        <v>2.9490395882955458E-2</v>
      </c>
      <c r="AW42" s="1">
        <f t="shared" si="20"/>
        <v>3.2642549538820481E-2</v>
      </c>
      <c r="AX42" s="1">
        <f t="shared" si="21"/>
        <v>3.2642555263165562E-2</v>
      </c>
    </row>
    <row r="43" spans="4:50" x14ac:dyDescent="0.25">
      <c r="D43" s="1">
        <f>D42*'Enter data'!$C$77</f>
        <v>172.78526309030801</v>
      </c>
      <c r="E43">
        <f t="shared" si="2"/>
        <v>1.72785263090308E-7</v>
      </c>
      <c r="G43" s="1">
        <f t="shared" si="22"/>
        <v>4.9523890288031315E-3</v>
      </c>
      <c r="H43" s="1">
        <f t="shared" si="23"/>
        <v>4.9523890288031315E-3</v>
      </c>
      <c r="I43" s="1">
        <f t="shared" si="24"/>
        <v>4.1278667397500208E-7</v>
      </c>
      <c r="J43" s="1">
        <f t="shared" si="25"/>
        <v>6.0999066520464044E-8</v>
      </c>
      <c r="K43" s="1">
        <f>'Enter data'!$C$86/D43</f>
        <v>1735058.0288974666</v>
      </c>
      <c r="L43" s="1"/>
      <c r="M43" s="24">
        <f>1+(2/PI())*ATAN(1.4*('Enter data'!C$32/G43)^2)</f>
        <v>1</v>
      </c>
      <c r="N43" s="24">
        <f>1+(2/PI())*ATAN(1.4*('Enter data'!D$32/H43)^2)</f>
        <v>1</v>
      </c>
      <c r="O43" s="1">
        <f t="shared" si="3"/>
        <v>4.0529409147091681E-2</v>
      </c>
      <c r="P43" s="1">
        <f t="shared" si="4"/>
        <v>0.27426649216652194</v>
      </c>
      <c r="Q43" s="16">
        <f>8.686*O43/2/'Enter data'!C$46</f>
        <v>3.5102818059258916E-3</v>
      </c>
      <c r="R43" s="16">
        <f>8.686*P43/2/'Enter data'!C$46</f>
        <v>2.3754421731962096E-2</v>
      </c>
      <c r="S43" s="16">
        <f t="shared" si="5"/>
        <v>1.0699469050005764E-3</v>
      </c>
      <c r="T43" s="16">
        <f t="shared" si="6"/>
        <v>7.2404357876012237E-3</v>
      </c>
      <c r="U43">
        <f t="shared" si="0"/>
        <v>0.31479590131361362</v>
      </c>
      <c r="V43">
        <f>U43/(2*'Enter data'!$C$46)</f>
        <v>3.1389251137333624E-3</v>
      </c>
      <c r="W43">
        <f t="shared" si="1"/>
        <v>2.7264326866874335E-2</v>
      </c>
      <c r="Y43" s="1"/>
      <c r="Z43" s="1">
        <f>4*PI()^2*D43*'Enter data'!$C$85*'Enter data'!$E$15*'Enter data'!$E$16/LN('Enter data'!$C$45)</f>
        <v>3.1418048029537861E-11</v>
      </c>
      <c r="AA43" s="16">
        <f>27.28753*'Enter data'!$E$15^0.5*'Enter data'!$E$16*D43/'Enter data'!$C$86</f>
        <v>6.8372447108450266E-9</v>
      </c>
      <c r="AB43" s="16">
        <f t="shared" si="26"/>
        <v>2.0840175295187231E-9</v>
      </c>
      <c r="AC43" s="19"/>
      <c r="AD43">
        <f>2*PI()/'Enter data'!$E$11/LN($C$3/$C$2)</f>
        <v>5.1880404392247992E-18</v>
      </c>
      <c r="AE43" s="14">
        <f>8.686*AD43*'Enter data'!$C$46/2</f>
        <v>1.1298253133715425E-15</v>
      </c>
      <c r="AF43" s="16">
        <f t="shared" si="7"/>
        <v>3.4437494311495441E-16</v>
      </c>
      <c r="AH43" s="1">
        <f t="shared" si="8"/>
        <v>2.7264710375133831E-2</v>
      </c>
      <c r="AI43" s="16">
        <f t="shared" si="9"/>
        <v>8.3103847766196753E-3</v>
      </c>
      <c r="AK43" s="1">
        <f t="shared" si="10"/>
        <v>2.3896629524839158E-3</v>
      </c>
      <c r="AL43" s="1">
        <f t="shared" si="11"/>
        <v>1.6171083892672248E-2</v>
      </c>
      <c r="AM43" s="1">
        <f t="shared" si="12"/>
        <v>1.8560746845156163E-2</v>
      </c>
      <c r="AN43" s="1">
        <f t="shared" si="13"/>
        <v>1.8560753682402006E-2</v>
      </c>
      <c r="AP43" s="1">
        <f t="shared" si="14"/>
        <v>3.5102818059258916E-3</v>
      </c>
      <c r="AQ43" s="1">
        <f t="shared" si="15"/>
        <v>2.3754421731962096E-2</v>
      </c>
      <c r="AR43" s="1">
        <f t="shared" si="16"/>
        <v>2.7264703537887989E-2</v>
      </c>
      <c r="AS43" s="1">
        <f t="shared" si="17"/>
        <v>2.7264710375133831E-2</v>
      </c>
      <c r="AU43" s="1">
        <f t="shared" si="18"/>
        <v>3.1556555864822285E-3</v>
      </c>
      <c r="AV43" s="1">
        <f t="shared" si="19"/>
        <v>2.9513918825093625E-2</v>
      </c>
      <c r="AW43" s="1">
        <f t="shared" si="20"/>
        <v>3.2669574411575857E-2</v>
      </c>
      <c r="AX43" s="1">
        <f t="shared" si="21"/>
        <v>3.2669581248821696E-2</v>
      </c>
    </row>
    <row r="44" spans="4:50" x14ac:dyDescent="0.25">
      <c r="D44" s="1">
        <f>D43*'Enter data'!$C$77</f>
        <v>206.37738347251289</v>
      </c>
      <c r="E44">
        <f t="shared" si="2"/>
        <v>2.0637738347251289E-7</v>
      </c>
      <c r="G44" s="1">
        <f t="shared" si="22"/>
        <v>4.531448526363926E-3</v>
      </c>
      <c r="H44" s="1">
        <f t="shared" si="23"/>
        <v>4.531448526363926E-3</v>
      </c>
      <c r="I44" s="1">
        <f t="shared" si="24"/>
        <v>4.1228624478979277E-7</v>
      </c>
      <c r="J44" s="1">
        <f t="shared" si="25"/>
        <v>6.094595759879472E-8</v>
      </c>
      <c r="K44" s="1">
        <f>'Enter data'!$C$86/D44</f>
        <v>1452642.0141377989</v>
      </c>
      <c r="L44" s="1"/>
      <c r="M44" s="24">
        <f>1+(2/PI())*ATAN(1.4*('Enter data'!C$32/G44)^2)</f>
        <v>1</v>
      </c>
      <c r="N44" s="24">
        <f>1+(2/PI())*ATAN(1.4*('Enter data'!D$32/H44)^2)</f>
        <v>1</v>
      </c>
      <c r="O44" s="1">
        <f t="shared" si="3"/>
        <v>4.0578603364586942E-2</v>
      </c>
      <c r="P44" s="1">
        <f t="shared" si="4"/>
        <v>0.27450549075187325</v>
      </c>
      <c r="Q44" s="16">
        <f>8.686*O44/2/'Enter data'!C$46</f>
        <v>3.5145425531280935E-3</v>
      </c>
      <c r="R44" s="16">
        <f>8.686*P44/2/'Enter data'!C$46</f>
        <v>2.3775121574458095E-2</v>
      </c>
      <c r="S44" s="16">
        <f t="shared" si="5"/>
        <v>1.0712455965398969E-3</v>
      </c>
      <c r="T44" s="16">
        <f t="shared" si="6"/>
        <v>7.2467451763161715E-3</v>
      </c>
      <c r="U44">
        <f t="shared" si="0"/>
        <v>0.31508409411646021</v>
      </c>
      <c r="V44">
        <f>U44/(2*'Enter data'!$C$46)</f>
        <v>3.1417987713085647E-3</v>
      </c>
      <c r="W44">
        <f t="shared" si="1"/>
        <v>2.7289287111733632E-2</v>
      </c>
      <c r="Y44" s="1"/>
      <c r="Z44" s="1">
        <f>4*PI()^2*D44*'Enter data'!$C$85*'Enter data'!$E$15*'Enter data'!$E$16/LN('Enter data'!$C$45)</f>
        <v>3.7526201194374121E-11</v>
      </c>
      <c r="AA44" s="16">
        <f>27.28753*'Enter data'!$E$15^0.5*'Enter data'!$E$16*D44/'Enter data'!$C$86</f>
        <v>8.166510548112966E-9</v>
      </c>
      <c r="AB44" s="16">
        <f t="shared" si="26"/>
        <v>2.4891826835262637E-9</v>
      </c>
      <c r="AC44" s="19"/>
      <c r="AD44">
        <f>2*PI()/'Enter data'!$E$11/LN($C$3/$C$2)</f>
        <v>5.1880404392247992E-18</v>
      </c>
      <c r="AE44" s="14">
        <f>8.686*AD44*'Enter data'!$C$46/2</f>
        <v>1.1298253133715425E-15</v>
      </c>
      <c r="AF44" s="16">
        <f t="shared" si="7"/>
        <v>3.4437494311495441E-16</v>
      </c>
      <c r="AH44" s="1">
        <f t="shared" si="8"/>
        <v>2.7289672294097869E-2</v>
      </c>
      <c r="AI44" s="16">
        <f t="shared" si="9"/>
        <v>8.3179932620390962E-3</v>
      </c>
      <c r="AK44" s="1">
        <f t="shared" si="10"/>
        <v>2.3925635030100337E-3</v>
      </c>
      <c r="AL44" s="1">
        <f t="shared" si="11"/>
        <v>1.6185175538149667E-2</v>
      </c>
      <c r="AM44" s="1">
        <f t="shared" si="12"/>
        <v>1.85777390411597E-2</v>
      </c>
      <c r="AN44" s="1">
        <f t="shared" si="13"/>
        <v>1.8577747207671379E-2</v>
      </c>
      <c r="AP44" s="1">
        <f t="shared" si="14"/>
        <v>3.5145425531280935E-3</v>
      </c>
      <c r="AQ44" s="1">
        <f t="shared" si="15"/>
        <v>2.3775121574458095E-2</v>
      </c>
      <c r="AR44" s="1">
        <f t="shared" si="16"/>
        <v>2.728966412758619E-2</v>
      </c>
      <c r="AS44" s="1">
        <f t="shared" si="17"/>
        <v>2.7289672294097869E-2</v>
      </c>
      <c r="AU44" s="1">
        <f t="shared" si="18"/>
        <v>3.1594858916983277E-3</v>
      </c>
      <c r="AV44" s="1">
        <f t="shared" si="19"/>
        <v>2.9539637551401203E-2</v>
      </c>
      <c r="AW44" s="1">
        <f t="shared" si="20"/>
        <v>3.2699123443099533E-2</v>
      </c>
      <c r="AX44" s="1">
        <f t="shared" si="21"/>
        <v>3.2699131609611215E-2</v>
      </c>
    </row>
    <row r="45" spans="4:50" x14ac:dyDescent="0.25">
      <c r="D45" s="1">
        <f>D44*'Enter data'!$C$77</f>
        <v>246.50033022029015</v>
      </c>
      <c r="E45">
        <f t="shared" si="2"/>
        <v>2.4650033022029016E-7</v>
      </c>
      <c r="G45" s="1">
        <f t="shared" si="22"/>
        <v>4.146286898638162E-3</v>
      </c>
      <c r="H45" s="1">
        <f t="shared" si="23"/>
        <v>4.146286898638162E-3</v>
      </c>
      <c r="I45" s="1">
        <f t="shared" si="24"/>
        <v>4.1174023783233604E-7</v>
      </c>
      <c r="J45" s="1">
        <f t="shared" si="25"/>
        <v>6.088799466986125E-8</v>
      </c>
      <c r="K45" s="1">
        <f>'Enter data'!$C$86/D45</f>
        <v>1216194.9549198747</v>
      </c>
      <c r="L45" s="1"/>
      <c r="M45" s="24">
        <f>1+(2/PI())*ATAN(1.4*('Enter data'!C$32/G45)^2)</f>
        <v>1</v>
      </c>
      <c r="N45" s="24">
        <f>1+(2/PI())*ATAN(1.4*('Enter data'!D$32/H45)^2)</f>
        <v>1</v>
      </c>
      <c r="O45" s="1">
        <f t="shared" si="3"/>
        <v>4.0632414475877857E-2</v>
      </c>
      <c r="P45" s="1">
        <f t="shared" si="4"/>
        <v>0.27476680896966921</v>
      </c>
      <c r="Q45" s="16">
        <f>8.686*O45/2/'Enter data'!C$46</f>
        <v>3.5192031728828897E-3</v>
      </c>
      <c r="R45" s="16">
        <f>8.686*P45/2/'Enter data'!C$46</f>
        <v>2.37977545366648E-2</v>
      </c>
      <c r="S45" s="16">
        <f t="shared" si="5"/>
        <v>1.0726661707153406E-3</v>
      </c>
      <c r="T45" s="16">
        <f t="shared" si="6"/>
        <v>7.2536437870838813E-3</v>
      </c>
      <c r="U45">
        <f t="shared" ref="U45:U76" si="27">O45+P45</f>
        <v>0.31539922344554705</v>
      </c>
      <c r="V45">
        <f>U45/(2*'Enter data'!$C$46)</f>
        <v>3.14494102113144E-3</v>
      </c>
      <c r="W45">
        <f t="shared" si="1"/>
        <v>2.731658031662515E-2</v>
      </c>
      <c r="Y45" s="1"/>
      <c r="Z45" s="1">
        <f>4*PI()^2*D45*'Enter data'!$C$85*'Enter data'!$E$15*'Enter data'!$E$16/LN('Enter data'!$C$45)</f>
        <v>4.4821873553592617E-11</v>
      </c>
      <c r="AA45" s="16">
        <f>27.28753*'Enter data'!$E$15^0.5*'Enter data'!$E$16*D45/'Enter data'!$C$86</f>
        <v>9.7542061682618628E-9</v>
      </c>
      <c r="AB45" s="16">
        <f t="shared" si="26"/>
        <v>2.9731181932034449E-9</v>
      </c>
      <c r="AC45" s="19"/>
      <c r="AD45">
        <f>2*PI()/'Enter data'!$E$11/LN($C$3/$C$2)</f>
        <v>5.1880404392247992E-18</v>
      </c>
      <c r="AE45" s="14">
        <f>8.686*AD45*'Enter data'!$C$46/2</f>
        <v>1.1298253133715425E-15</v>
      </c>
      <c r="AF45" s="16">
        <f t="shared" si="7"/>
        <v>3.4437494311495441E-16</v>
      </c>
      <c r="AH45" s="1">
        <f t="shared" ref="AH45:AH76" si="28">Q45+R45+AA45+AE45</f>
        <v>2.731696746375499E-2</v>
      </c>
      <c r="AI45" s="16">
        <f t="shared" si="9"/>
        <v>8.3263129309177602E-3</v>
      </c>
      <c r="AK45" s="1">
        <f t="shared" si="10"/>
        <v>2.3957362711749287E-3</v>
      </c>
      <c r="AL45" s="1">
        <f t="shared" si="11"/>
        <v>1.6200583176134466E-2</v>
      </c>
      <c r="AM45" s="1">
        <f t="shared" si="12"/>
        <v>1.8596319447309394E-2</v>
      </c>
      <c r="AN45" s="1">
        <f t="shared" si="13"/>
        <v>1.8596329201516694E-2</v>
      </c>
      <c r="AP45" s="1">
        <f t="shared" si="14"/>
        <v>3.5192031728828897E-3</v>
      </c>
      <c r="AQ45" s="1">
        <f t="shared" si="15"/>
        <v>2.37977545366648E-2</v>
      </c>
      <c r="AR45" s="1">
        <f t="shared" si="16"/>
        <v>2.7316957709547691E-2</v>
      </c>
      <c r="AS45" s="1">
        <f t="shared" si="17"/>
        <v>2.731696746375499E-2</v>
      </c>
      <c r="AU45" s="1">
        <f t="shared" si="18"/>
        <v>3.1636756723423956E-3</v>
      </c>
      <c r="AV45" s="1">
        <f t="shared" si="19"/>
        <v>2.9567758101624545E-2</v>
      </c>
      <c r="AW45" s="1">
        <f t="shared" si="20"/>
        <v>3.2731433773966943E-2</v>
      </c>
      <c r="AX45" s="1">
        <f t="shared" si="21"/>
        <v>3.2731443528174239E-2</v>
      </c>
    </row>
    <row r="46" spans="4:50" x14ac:dyDescent="0.25">
      <c r="D46" s="1">
        <f>D45*'Enter data'!$C$77</f>
        <v>294.42379671803985</v>
      </c>
      <c r="E46">
        <f t="shared" si="2"/>
        <v>2.9442379671803985E-7</v>
      </c>
      <c r="G46" s="1">
        <f t="shared" si="22"/>
        <v>3.793863032051968E-3</v>
      </c>
      <c r="H46" s="1">
        <f t="shared" si="23"/>
        <v>3.793863032051968E-3</v>
      </c>
      <c r="I46" s="1">
        <f t="shared" si="24"/>
        <v>4.1114459378972333E-7</v>
      </c>
      <c r="J46" s="1">
        <f t="shared" si="25"/>
        <v>6.0824742112148453E-8</v>
      </c>
      <c r="K46" s="1">
        <f>'Enter data'!$C$86/D46</f>
        <v>1018234.4679397689</v>
      </c>
      <c r="L46" s="1"/>
      <c r="M46" s="24">
        <f>1+(2/PI())*ATAN(1.4*('Enter data'!C$32/G46)^2)</f>
        <v>1</v>
      </c>
      <c r="N46" s="24">
        <f>1+(2/PI())*ATAN(1.4*('Enter data'!D$32/H46)^2)</f>
        <v>1</v>
      </c>
      <c r="O46" s="1">
        <f t="shared" si="3"/>
        <v>4.0691280519564436E-2</v>
      </c>
      <c r="P46" s="1">
        <f t="shared" si="4"/>
        <v>0.27505254307783639</v>
      </c>
      <c r="Q46" s="16">
        <f>8.686*O46/2/'Enter data'!C$46</f>
        <v>3.5243016040342029E-3</v>
      </c>
      <c r="R46" s="16">
        <f>8.686*P46/2/'Enter data'!C$46</f>
        <v>2.3822502177016314E-2</v>
      </c>
      <c r="S46" s="16">
        <f t="shared" si="5"/>
        <v>1.0742201914271529E-3</v>
      </c>
      <c r="T46" s="16">
        <f t="shared" si="6"/>
        <v>7.2611869595880004E-3</v>
      </c>
      <c r="U46">
        <f t="shared" si="27"/>
        <v>0.31574382359740083</v>
      </c>
      <c r="V46">
        <f>U46/(2*'Enter data'!$C$46)</f>
        <v>3.148377133438927E-3</v>
      </c>
      <c r="W46">
        <f t="shared" ref="W46:W77" si="29">V46*8.68588</f>
        <v>2.7346425975794505E-2</v>
      </c>
      <c r="Y46" s="1"/>
      <c r="Z46" s="1">
        <f>4*PI()^2*D46*'Enter data'!$C$85*'Enter data'!$E$15*'Enter data'!$E$16/LN('Enter data'!$C$45)</f>
        <v>5.3535937156235041E-11</v>
      </c>
      <c r="AA46" s="16">
        <f>27.28753*'Enter data'!$E$15^0.5*'Enter data'!$E$16*D46/'Enter data'!$C$86</f>
        <v>1.1650574307400215E-8</v>
      </c>
      <c r="AB46" s="16">
        <f t="shared" si="26"/>
        <v>3.5511382307364711E-9</v>
      </c>
      <c r="AC46" s="19"/>
      <c r="AD46">
        <f>2*PI()/'Enter data'!$E$11/LN($C$3/$C$2)</f>
        <v>5.1880404392247992E-18</v>
      </c>
      <c r="AE46" s="14">
        <f>8.686*AD46*'Enter data'!$C$46/2</f>
        <v>1.1298253133715425E-15</v>
      </c>
      <c r="AF46" s="16">
        <f t="shared" si="7"/>
        <v>3.4437494311495441E-16</v>
      </c>
      <c r="AH46" s="1">
        <f t="shared" si="28"/>
        <v>2.7346815431625954E-2</v>
      </c>
      <c r="AI46" s="16">
        <f t="shared" si="9"/>
        <v>8.335410702153729E-3</v>
      </c>
      <c r="AK46" s="1">
        <f t="shared" si="10"/>
        <v>2.3992070842639279E-3</v>
      </c>
      <c r="AL46" s="1">
        <f t="shared" si="11"/>
        <v>1.6217430404527802E-2</v>
      </c>
      <c r="AM46" s="1">
        <f t="shared" si="12"/>
        <v>1.8616637488791728E-2</v>
      </c>
      <c r="AN46" s="1">
        <f t="shared" si="13"/>
        <v>1.8616649139367166E-2</v>
      </c>
      <c r="AP46" s="1">
        <f t="shared" si="14"/>
        <v>3.5243016040342029E-3</v>
      </c>
      <c r="AQ46" s="1">
        <f t="shared" si="15"/>
        <v>2.3822502177016314E-2</v>
      </c>
      <c r="AR46" s="1">
        <f t="shared" si="16"/>
        <v>2.7346803781050515E-2</v>
      </c>
      <c r="AS46" s="1">
        <f t="shared" si="17"/>
        <v>2.7346815431625954E-2</v>
      </c>
      <c r="AU46" s="1">
        <f t="shared" si="18"/>
        <v>3.1682590344866476E-3</v>
      </c>
      <c r="AV46" s="1">
        <f t="shared" si="19"/>
        <v>2.9598506054855686E-2</v>
      </c>
      <c r="AW46" s="1">
        <f t="shared" si="20"/>
        <v>3.2766765089342335E-2</v>
      </c>
      <c r="AX46" s="1">
        <f t="shared" si="21"/>
        <v>3.2766776739917777E-2</v>
      </c>
    </row>
    <row r="47" spans="4:50" x14ac:dyDescent="0.25">
      <c r="D47" s="1">
        <f>D46*'Enter data'!$C$77</f>
        <v>351.66432432929184</v>
      </c>
      <c r="E47">
        <f t="shared" si="2"/>
        <v>3.5166432432929187E-7</v>
      </c>
      <c r="G47" s="1">
        <f t="shared" si="22"/>
        <v>3.4713942999694564E-3</v>
      </c>
      <c r="H47" s="1">
        <f t="shared" si="23"/>
        <v>3.4713942999694564E-3</v>
      </c>
      <c r="I47" s="1">
        <f t="shared" si="24"/>
        <v>4.1049490956362238E-7</v>
      </c>
      <c r="J47" s="1">
        <f t="shared" si="25"/>
        <v>6.0755726759574801E-8</v>
      </c>
      <c r="K47" s="1">
        <f>'Enter data'!$C$86/D47</f>
        <v>852496.0800950625</v>
      </c>
      <c r="L47" s="1"/>
      <c r="M47" s="24">
        <f>1+(2/PI())*ATAN(1.4*('Enter data'!C$32/G47)^2)</f>
        <v>1</v>
      </c>
      <c r="N47" s="24">
        <f>1+(2/PI())*ATAN(1.4*('Enter data'!D$32/H47)^2)</f>
        <v>1</v>
      </c>
      <c r="O47" s="1">
        <f t="shared" si="3"/>
        <v>4.0755682007810691E-2</v>
      </c>
      <c r="P47" s="1">
        <f t="shared" si="4"/>
        <v>0.27536498849243768</v>
      </c>
      <c r="Q47" s="16">
        <f>8.686*O47/2/'Enter data'!C$46</f>
        <v>3.5298794640924364E-3</v>
      </c>
      <c r="R47" s="16">
        <f>8.686*P47/2/'Enter data'!C$46</f>
        <v>2.3849563303178788E-2</v>
      </c>
      <c r="S47" s="16">
        <f t="shared" si="5"/>
        <v>1.0759203438467557E-3</v>
      </c>
      <c r="T47" s="16">
        <f t="shared" si="6"/>
        <v>7.2694352911420344E-3</v>
      </c>
      <c r="U47">
        <f t="shared" si="27"/>
        <v>0.31612067050024839</v>
      </c>
      <c r="V47">
        <f>U47/(2*'Enter data'!$C$46)</f>
        <v>3.1521347878507053E-3</v>
      </c>
      <c r="W47">
        <f t="shared" si="29"/>
        <v>2.737906451109668E-2</v>
      </c>
      <c r="Y47" s="1"/>
      <c r="Z47" s="1">
        <f>4*PI()^2*D47*'Enter data'!$C$85*'Enter data'!$E$15*'Enter data'!$E$16/LN('Enter data'!$C$45)</f>
        <v>6.3944149138911231E-11</v>
      </c>
      <c r="AA47" s="16">
        <f>27.28753*'Enter data'!$E$15^0.5*'Enter data'!$E$16*D47/'Enter data'!$C$86</f>
        <v>1.3915625664537421E-8</v>
      </c>
      <c r="AB47" s="16">
        <f t="shared" si="26"/>
        <v>4.2415342796078452E-9</v>
      </c>
      <c r="AC47" s="19"/>
      <c r="AD47">
        <f>2*PI()/'Enter data'!$E$11/LN($C$3/$C$2)</f>
        <v>5.1880404392247992E-18</v>
      </c>
      <c r="AE47" s="14">
        <f>8.686*AD47*'Enter data'!$C$46/2</f>
        <v>1.1298253133715425E-15</v>
      </c>
      <c r="AF47" s="16">
        <f t="shared" si="7"/>
        <v>3.4437494311495441E-16</v>
      </c>
      <c r="AH47" s="1">
        <f t="shared" si="28"/>
        <v>2.7379456682898023E-2</v>
      </c>
      <c r="AI47" s="16">
        <f t="shared" si="9"/>
        <v>8.3453598765234147E-3</v>
      </c>
      <c r="AK47" s="1">
        <f t="shared" si="10"/>
        <v>2.4030042738550309E-3</v>
      </c>
      <c r="AL47" s="1">
        <f t="shared" si="11"/>
        <v>1.6235852563835293E-2</v>
      </c>
      <c r="AM47" s="1">
        <f t="shared" si="12"/>
        <v>1.8638856837690322E-2</v>
      </c>
      <c r="AN47" s="1">
        <f t="shared" si="13"/>
        <v>1.8638870753317119E-2</v>
      </c>
      <c r="AP47" s="1">
        <f t="shared" si="14"/>
        <v>3.5298794640924364E-3</v>
      </c>
      <c r="AQ47" s="1">
        <f t="shared" si="15"/>
        <v>2.3849563303178788E-2</v>
      </c>
      <c r="AR47" s="1">
        <f t="shared" si="16"/>
        <v>2.7379442767271226E-2</v>
      </c>
      <c r="AS47" s="1">
        <f t="shared" si="17"/>
        <v>2.7379456682898023E-2</v>
      </c>
      <c r="AU47" s="1">
        <f t="shared" si="18"/>
        <v>3.1732733912324981E-3</v>
      </c>
      <c r="AV47" s="1">
        <f t="shared" si="19"/>
        <v>2.9632128421667514E-2</v>
      </c>
      <c r="AW47" s="1">
        <f t="shared" si="20"/>
        <v>3.2805401812900009E-2</v>
      </c>
      <c r="AX47" s="1">
        <f t="shared" si="21"/>
        <v>3.2805415728526806E-2</v>
      </c>
    </row>
    <row r="48" spans="4:50" x14ac:dyDescent="0.25">
      <c r="D48" s="1">
        <f>D47*'Enter data'!$C$77</f>
        <v>420.03329345151406</v>
      </c>
      <c r="E48">
        <f t="shared" si="2"/>
        <v>4.2003329345151405E-7</v>
      </c>
      <c r="G48" s="1">
        <f t="shared" si="22"/>
        <v>3.176334591958819E-3</v>
      </c>
      <c r="H48" s="1">
        <f t="shared" si="23"/>
        <v>3.176334591958819E-3</v>
      </c>
      <c r="I48" s="1">
        <f t="shared" si="24"/>
        <v>4.0978641261610882E-7</v>
      </c>
      <c r="J48" s="1">
        <f t="shared" si="25"/>
        <v>6.0680434966983583E-8</v>
      </c>
      <c r="K48" s="1">
        <f>'Enter data'!$C$86/D48</f>
        <v>713734.98880656261</v>
      </c>
      <c r="L48" s="1"/>
      <c r="M48" s="24">
        <f>1+(2/PI())*ATAN(1.4*('Enter data'!C$32/G48)^2)</f>
        <v>1</v>
      </c>
      <c r="N48" s="24">
        <f>1+(2/PI())*ATAN(1.4*('Enter data'!D$32/H48)^2)</f>
        <v>1</v>
      </c>
      <c r="O48" s="1">
        <f t="shared" si="3"/>
        <v>4.0826146218939666E-2</v>
      </c>
      <c r="P48" s="1">
        <f t="shared" si="4"/>
        <v>0.27570665914149839</v>
      </c>
      <c r="Q48" s="16">
        <f>8.686*O48/2/'Enter data'!C$46</f>
        <v>3.5359824210192759E-3</v>
      </c>
      <c r="R48" s="16">
        <f>8.686*P48/2/'Enter data'!C$46</f>
        <v>2.3879155648299434E-2</v>
      </c>
      <c r="S48" s="16">
        <f t="shared" si="5"/>
        <v>1.0777805477381356E-3</v>
      </c>
      <c r="T48" s="16">
        <f t="shared" si="6"/>
        <v>7.2784551476162617E-3</v>
      </c>
      <c r="U48">
        <f t="shared" si="27"/>
        <v>0.31653280536043804</v>
      </c>
      <c r="V48">
        <f>U48/(2*'Enter data'!$C$46)</f>
        <v>3.1562443091548136E-3</v>
      </c>
      <c r="W48">
        <f t="shared" si="29"/>
        <v>2.7414759320001609E-2</v>
      </c>
      <c r="Y48" s="1"/>
      <c r="Z48" s="1">
        <f>4*PI()^2*D48*'Enter data'!$C$85*'Enter data'!$E$15*'Enter data'!$E$16/LN('Enter data'!$C$45)</f>
        <v>7.6375878079181358E-11</v>
      </c>
      <c r="AA48" s="16">
        <f>27.28753*'Enter data'!$E$15^0.5*'Enter data'!$E$16*D48/'Enter data'!$C$86</f>
        <v>1.662103794424394E-8</v>
      </c>
      <c r="AB48" s="16">
        <f t="shared" si="26"/>
        <v>5.0661539698378259E-9</v>
      </c>
      <c r="AC48" s="19"/>
      <c r="AD48">
        <f>2*PI()/'Enter data'!$E$11/LN($C$3/$C$2)</f>
        <v>5.1880404392247992E-18</v>
      </c>
      <c r="AE48" s="14">
        <f>8.686*AD48*'Enter data'!$C$46/2</f>
        <v>1.1298253133715425E-15</v>
      </c>
      <c r="AF48" s="16">
        <f t="shared" si="7"/>
        <v>3.4437494311495441E-16</v>
      </c>
      <c r="AH48" s="1">
        <f t="shared" si="28"/>
        <v>2.7415154690357785E-2</v>
      </c>
      <c r="AI48" s="16">
        <f t="shared" si="9"/>
        <v>8.3562407615087129E-3</v>
      </c>
      <c r="AK48" s="1">
        <f t="shared" si="10"/>
        <v>2.4071589289155031E-3</v>
      </c>
      <c r="AL48" s="1">
        <f t="shared" si="11"/>
        <v>1.6255997878291968E-2</v>
      </c>
      <c r="AM48" s="1">
        <f t="shared" si="12"/>
        <v>1.8663156807207471E-2</v>
      </c>
      <c r="AN48" s="1">
        <f t="shared" si="13"/>
        <v>1.8663173428246548E-2</v>
      </c>
      <c r="AP48" s="1">
        <f t="shared" si="14"/>
        <v>3.5359824210192759E-3</v>
      </c>
      <c r="AQ48" s="1">
        <f t="shared" si="15"/>
        <v>2.3879155648299434E-2</v>
      </c>
      <c r="AR48" s="1">
        <f t="shared" si="16"/>
        <v>2.7415138069318709E-2</v>
      </c>
      <c r="AS48" s="1">
        <f t="shared" si="17"/>
        <v>2.7415154690357785E-2</v>
      </c>
      <c r="AU48" s="1">
        <f t="shared" si="18"/>
        <v>3.1787597969358036E-3</v>
      </c>
      <c r="AV48" s="1">
        <f t="shared" si="19"/>
        <v>2.9668895726786111E-2</v>
      </c>
      <c r="AW48" s="1">
        <f t="shared" si="20"/>
        <v>3.2847655523721916E-2</v>
      </c>
      <c r="AX48" s="1">
        <f t="shared" si="21"/>
        <v>3.2847672144760989E-2</v>
      </c>
    </row>
    <row r="49" spans="4:50" x14ac:dyDescent="0.25">
      <c r="D49" s="1">
        <f>D48*'Enter data'!$C$77</f>
        <v>501.69424477224453</v>
      </c>
      <c r="E49">
        <f t="shared" si="2"/>
        <v>5.0169424477224457E-7</v>
      </c>
      <c r="G49" s="1">
        <f t="shared" si="22"/>
        <v>2.9063542105150562E-3</v>
      </c>
      <c r="H49" s="1">
        <f t="shared" si="23"/>
        <v>2.9063542105150562E-3</v>
      </c>
      <c r="I49" s="1">
        <f t="shared" si="24"/>
        <v>4.0901393409575116E-7</v>
      </c>
      <c r="J49" s="1">
        <f t="shared" si="25"/>
        <v>6.0598309506086232E-8</v>
      </c>
      <c r="K49" s="1">
        <f>'Enter data'!$C$86/D49</f>
        <v>597560.08988322678</v>
      </c>
      <c r="L49" s="1"/>
      <c r="M49" s="24">
        <f>1+(2/PI())*ATAN(1.4*('Enter data'!C$32/G49)^2)</f>
        <v>1</v>
      </c>
      <c r="N49" s="24">
        <f>1+(2/PI())*ATAN(1.4*('Enter data'!D$32/H49)^2)</f>
        <v>1</v>
      </c>
      <c r="O49" s="1">
        <f t="shared" si="3"/>
        <v>4.0903251956407601E-2</v>
      </c>
      <c r="P49" s="1">
        <f t="shared" si="4"/>
        <v>0.27608030878022616</v>
      </c>
      <c r="Q49" s="16">
        <f>8.686*O49/2/'Enter data'!C$46</f>
        <v>3.5426606054059246E-3</v>
      </c>
      <c r="R49" s="16">
        <f>8.686*P49/2/'Enter data'!C$46</f>
        <v>2.3911517717133374E-2</v>
      </c>
      <c r="S49" s="16">
        <f t="shared" si="5"/>
        <v>1.0798160830912961E-3</v>
      </c>
      <c r="T49" s="16">
        <f t="shared" si="6"/>
        <v>7.2883192261440416E-3</v>
      </c>
      <c r="U49">
        <f t="shared" si="27"/>
        <v>0.31698356073663375</v>
      </c>
      <c r="V49">
        <f>U49/(2*'Enter data'!$C$46)</f>
        <v>3.1607389273013231E-3</v>
      </c>
      <c r="W49">
        <f t="shared" si="29"/>
        <v>2.7453799033868014E-2</v>
      </c>
      <c r="Y49" s="1"/>
      <c r="Z49" s="1">
        <f>4*PI()^2*D49*'Enter data'!$C$85*'Enter data'!$E$15*'Enter data'!$E$16/LN('Enter data'!$C$45)</f>
        <v>9.1224526886640757E-11</v>
      </c>
      <c r="AA49" s="16">
        <f>27.28753*'Enter data'!$E$15^0.5*'Enter data'!$E$16*D49/'Enter data'!$C$86</f>
        <v>1.9852424102497598E-8</v>
      </c>
      <c r="AB49" s="16">
        <f t="shared" si="26"/>
        <v>6.0510924477254324E-9</v>
      </c>
      <c r="AC49" s="19"/>
      <c r="AD49">
        <f>2*PI()/'Enter data'!$E$11/LN($C$3/$C$2)</f>
        <v>5.1880404392247992E-18</v>
      </c>
      <c r="AE49" s="14">
        <f>8.686*AD49*'Enter data'!$C$46/2</f>
        <v>1.1298253133715425E-15</v>
      </c>
      <c r="AF49" s="16">
        <f t="shared" si="7"/>
        <v>3.4437494311495441E-16</v>
      </c>
      <c r="AH49" s="1">
        <f t="shared" si="28"/>
        <v>2.7454198174964532E-2</v>
      </c>
      <c r="AI49" s="16">
        <f t="shared" si="9"/>
        <v>8.368141360328131E-3</v>
      </c>
      <c r="AK49" s="1">
        <f t="shared" si="10"/>
        <v>2.4117051763967424E-3</v>
      </c>
      <c r="AL49" s="1">
        <f t="shared" si="11"/>
        <v>1.6278028712633431E-2</v>
      </c>
      <c r="AM49" s="1">
        <f t="shared" si="12"/>
        <v>1.8689733889030172E-2</v>
      </c>
      <c r="AN49" s="1">
        <f t="shared" si="13"/>
        <v>1.8689753741455407E-2</v>
      </c>
      <c r="AP49" s="1">
        <f t="shared" si="14"/>
        <v>3.5426606054059246E-3</v>
      </c>
      <c r="AQ49" s="1">
        <f t="shared" si="15"/>
        <v>2.3911517717133374E-2</v>
      </c>
      <c r="AR49" s="1">
        <f t="shared" si="16"/>
        <v>2.7454178322539297E-2</v>
      </c>
      <c r="AS49" s="1">
        <f t="shared" si="17"/>
        <v>2.7454198174964532E-2</v>
      </c>
      <c r="AU49" s="1">
        <f t="shared" si="18"/>
        <v>3.1847633177447912E-3</v>
      </c>
      <c r="AV49" s="1">
        <f t="shared" si="19"/>
        <v>2.9709104302829529E-2</v>
      </c>
      <c r="AW49" s="1">
        <f t="shared" si="20"/>
        <v>3.2893867620574321E-2</v>
      </c>
      <c r="AX49" s="1">
        <f t="shared" si="21"/>
        <v>3.2893887472999553E-2</v>
      </c>
    </row>
    <row r="50" spans="4:50" x14ac:dyDescent="0.25">
      <c r="D50" s="1">
        <f>D49*'Enter data'!$C$77</f>
        <v>599.23134466160377</v>
      </c>
      <c r="E50">
        <f t="shared" si="2"/>
        <v>5.9923134466160378E-7</v>
      </c>
      <c r="G50" s="1">
        <f t="shared" si="22"/>
        <v>2.6593214765102775E-3</v>
      </c>
      <c r="H50" s="1">
        <f t="shared" si="23"/>
        <v>2.6593214765102775E-3</v>
      </c>
      <c r="I50" s="1">
        <f t="shared" si="24"/>
        <v>4.0817188083981413E-7</v>
      </c>
      <c r="J50" s="1">
        <f t="shared" si="25"/>
        <v>6.0508746294751115E-8</v>
      </c>
      <c r="K50" s="1">
        <f>'Enter data'!$C$86/D50</f>
        <v>500295.02073076292</v>
      </c>
      <c r="L50" s="1"/>
      <c r="M50" s="24">
        <f>1+(2/PI())*ATAN(1.4*('Enter data'!C$32/G50)^2)</f>
        <v>1</v>
      </c>
      <c r="N50" s="24">
        <f>1+(2/PI())*ATAN(1.4*('Enter data'!D$32/H50)^2)</f>
        <v>1</v>
      </c>
      <c r="O50" s="1">
        <f t="shared" si="3"/>
        <v>4.0987634830645381E-2</v>
      </c>
      <c r="P50" s="1">
        <f t="shared" si="4"/>
        <v>0.27648895448113525</v>
      </c>
      <c r="Q50" s="16">
        <f>8.686*O50/2/'Enter data'!C$46</f>
        <v>3.5499690679372583E-3</v>
      </c>
      <c r="R50" s="16">
        <f>8.686*P50/2/'Enter data'!C$46</f>
        <v>2.3946910820540453E-2</v>
      </c>
      <c r="S50" s="16">
        <f t="shared" si="5"/>
        <v>1.0820437295590278E-3</v>
      </c>
      <c r="T50" s="16">
        <f t="shared" si="6"/>
        <v>7.2991071752439808E-3</v>
      </c>
      <c r="U50">
        <f t="shared" si="27"/>
        <v>0.31747658931178063</v>
      </c>
      <c r="V50">
        <f>U50/(2*'Enter data'!$C$46)</f>
        <v>3.165655064296306E-3</v>
      </c>
      <c r="W50">
        <f t="shared" si="29"/>
        <v>2.7496500009869997E-2</v>
      </c>
      <c r="Y50" s="1"/>
      <c r="Z50" s="1">
        <f>4*PI()^2*D50*'Enter data'!$C$85*'Enter data'!$E$15*'Enter data'!$E$16/LN('Enter data'!$C$45)</f>
        <v>1.0895998206480642E-10</v>
      </c>
      <c r="AA50" s="16">
        <f>27.28753*'Enter data'!$E$15^0.5*'Enter data'!$E$16*D50/'Enter data'!$C$86</f>
        <v>2.3712041574510414E-8</v>
      </c>
      <c r="AB50" s="16">
        <f t="shared" si="26"/>
        <v>7.2275181585315819E-9</v>
      </c>
      <c r="AC50" s="19"/>
      <c r="AD50">
        <f>2*PI()/'Enter data'!$E$11/LN($C$3/$C$2)</f>
        <v>5.1880404392247992E-18</v>
      </c>
      <c r="AE50" s="14">
        <f>8.686*AD50*'Enter data'!$C$46/2</f>
        <v>1.1298253133715425E-15</v>
      </c>
      <c r="AF50" s="16">
        <f t="shared" si="7"/>
        <v>3.4437494311495441E-16</v>
      </c>
      <c r="AH50" s="1">
        <f t="shared" si="28"/>
        <v>2.7496903600520414E-2</v>
      </c>
      <c r="AI50" s="16">
        <f t="shared" si="9"/>
        <v>8.3811581323215111E-3</v>
      </c>
      <c r="AK50" s="1">
        <f t="shared" si="10"/>
        <v>2.4166804926580355E-3</v>
      </c>
      <c r="AL50" s="1">
        <f t="shared" si="11"/>
        <v>1.6302122957101938E-2</v>
      </c>
      <c r="AM50" s="1">
        <f t="shared" si="12"/>
        <v>1.8718803449759975E-2</v>
      </c>
      <c r="AN50" s="1">
        <f t="shared" si="13"/>
        <v>1.8718827161802679E-2</v>
      </c>
      <c r="AP50" s="1">
        <f t="shared" si="14"/>
        <v>3.5499690679372583E-3</v>
      </c>
      <c r="AQ50" s="1">
        <f t="shared" si="15"/>
        <v>2.3946910820540453E-2</v>
      </c>
      <c r="AR50" s="1">
        <f t="shared" si="16"/>
        <v>2.749687988847771E-2</v>
      </c>
      <c r="AS50" s="1">
        <f t="shared" si="17"/>
        <v>2.7496903600520414E-2</v>
      </c>
      <c r="AU50" s="1">
        <f t="shared" si="18"/>
        <v>3.1913334428488966E-3</v>
      </c>
      <c r="AV50" s="1">
        <f t="shared" si="19"/>
        <v>2.9753078818088689E-2</v>
      </c>
      <c r="AW50" s="1">
        <f t="shared" si="20"/>
        <v>3.2944412260937583E-2</v>
      </c>
      <c r="AX50" s="1">
        <f t="shared" si="21"/>
        <v>3.2944435972980288E-2</v>
      </c>
    </row>
    <row r="51" spans="4:50" x14ac:dyDescent="0.25">
      <c r="D51" s="1">
        <f>D50*'Enter data'!$C$77</f>
        <v>715.73116129320056</v>
      </c>
      <c r="E51">
        <f t="shared" si="2"/>
        <v>7.1573116129320061E-7</v>
      </c>
      <c r="G51" s="1">
        <f t="shared" si="22"/>
        <v>2.4332858981340479E-3</v>
      </c>
      <c r="H51" s="1">
        <f t="shared" si="23"/>
        <v>2.4332858981340479E-3</v>
      </c>
      <c r="I51" s="1">
        <f t="shared" si="24"/>
        <v>4.0725420639282985E-7</v>
      </c>
      <c r="J51" s="1">
        <f t="shared" si="25"/>
        <v>6.0411090966232936E-8</v>
      </c>
      <c r="K51" s="1">
        <f>'Enter data'!$C$86/D51</f>
        <v>418861.82160677155</v>
      </c>
      <c r="L51" s="1"/>
      <c r="M51" s="24">
        <f>1+(2/PI())*ATAN(1.4*('Enter data'!C$32/G51)^2)</f>
        <v>1</v>
      </c>
      <c r="N51" s="24">
        <f>1+(2/PI())*ATAN(1.4*('Enter data'!D$32/H51)^2)</f>
        <v>1</v>
      </c>
      <c r="O51" s="1">
        <f t="shared" si="3"/>
        <v>4.1079993128082151E-2</v>
      </c>
      <c r="P51" s="1">
        <f t="shared" si="4"/>
        <v>0.2769359025373555</v>
      </c>
      <c r="Q51" s="16">
        <f>8.686*O51/2/'Enter data'!C$46</f>
        <v>3.5579682877122602E-3</v>
      </c>
      <c r="R51" s="16">
        <f>8.686*P51/2/'Enter data'!C$46</f>
        <v>2.3985621318989861E-2</v>
      </c>
      <c r="S51" s="16">
        <f t="shared" si="5"/>
        <v>1.084481921394861E-3</v>
      </c>
      <c r="T51" s="16">
        <f t="shared" si="6"/>
        <v>7.3109062786484574E-3</v>
      </c>
      <c r="U51">
        <f t="shared" si="27"/>
        <v>0.31801589566543764</v>
      </c>
      <c r="V51">
        <f>U51/(2*'Enter data'!$C$46)</f>
        <v>3.1710326510133689E-3</v>
      </c>
      <c r="W51">
        <f t="shared" si="29"/>
        <v>2.7543209082783997E-2</v>
      </c>
      <c r="Y51" s="1"/>
      <c r="Z51" s="1">
        <f>4*PI()^2*D51*'Enter data'!$C$85*'Enter data'!$E$15*'Enter data'!$E$16/LN('Enter data'!$C$45)</f>
        <v>1.301434833015457E-10</v>
      </c>
      <c r="AA51" s="16">
        <f>27.28753*'Enter data'!$E$15^0.5*'Enter data'!$E$16*D51/'Enter data'!$C$86</f>
        <v>2.8322028218235242E-8</v>
      </c>
      <c r="AB51" s="16">
        <f t="shared" si="26"/>
        <v>8.6326591740536578E-9</v>
      </c>
      <c r="AC51" s="19"/>
      <c r="AD51">
        <f>2*PI()/'Enter data'!$E$11/LN($C$3/$C$2)</f>
        <v>5.1880404392247992E-18</v>
      </c>
      <c r="AE51" s="14">
        <f>8.686*AD51*'Enter data'!$C$46/2</f>
        <v>1.1298253133715425E-15</v>
      </c>
      <c r="AF51" s="16">
        <f t="shared" si="7"/>
        <v>3.4437494311495441E-16</v>
      </c>
      <c r="AH51" s="1">
        <f t="shared" si="28"/>
        <v>2.754361792873147E-2</v>
      </c>
      <c r="AI51" s="16">
        <f t="shared" si="9"/>
        <v>8.3953968327028367E-3</v>
      </c>
      <c r="AK51" s="1">
        <f t="shared" si="10"/>
        <v>2.4221260495112858E-3</v>
      </c>
      <c r="AL51" s="1">
        <f t="shared" si="11"/>
        <v>1.6328475554736856E-2</v>
      </c>
      <c r="AM51" s="1">
        <f t="shared" si="12"/>
        <v>1.8750601604248143E-2</v>
      </c>
      <c r="AN51" s="1">
        <f t="shared" si="13"/>
        <v>1.8750629926277494E-2</v>
      </c>
      <c r="AP51" s="1">
        <f t="shared" si="14"/>
        <v>3.5579682877122602E-3</v>
      </c>
      <c r="AQ51" s="1">
        <f t="shared" si="15"/>
        <v>2.3985621318989861E-2</v>
      </c>
      <c r="AR51" s="1">
        <f t="shared" si="16"/>
        <v>2.7543589606702119E-2</v>
      </c>
      <c r="AS51" s="1">
        <f t="shared" si="17"/>
        <v>2.754361792873147E-2</v>
      </c>
      <c r="AU51" s="1">
        <f t="shared" si="18"/>
        <v>3.1985245414461291E-3</v>
      </c>
      <c r="AV51" s="1">
        <f t="shared" si="19"/>
        <v>2.9801175063992141E-2</v>
      </c>
      <c r="AW51" s="1">
        <f t="shared" si="20"/>
        <v>3.2999699605438269E-2</v>
      </c>
      <c r="AX51" s="1">
        <f t="shared" si="21"/>
        <v>3.2999727927467616E-2</v>
      </c>
    </row>
    <row r="52" spans="4:50" x14ac:dyDescent="0.25">
      <c r="D52" s="1">
        <f>D51*'Enter data'!$C$77</f>
        <v>854.8803393043496</v>
      </c>
      <c r="E52">
        <f t="shared" si="2"/>
        <v>8.5488033930434963E-7</v>
      </c>
      <c r="G52" s="1">
        <f t="shared" si="22"/>
        <v>2.2264627704311098E-3</v>
      </c>
      <c r="H52" s="1">
        <f t="shared" si="23"/>
        <v>2.2264627704311098E-3</v>
      </c>
      <c r="I52" s="1">
        <f t="shared" si="24"/>
        <v>4.0625438123567473E-7</v>
      </c>
      <c r="J52" s="1">
        <f t="shared" si="25"/>
        <v>6.0304635289064481E-8</v>
      </c>
      <c r="K52" s="1">
        <f>'Enter data'!$C$86/D52</f>
        <v>350683.5333749202</v>
      </c>
      <c r="L52" s="1"/>
      <c r="M52" s="24">
        <f>1+(2/PI())*ATAN(1.4*('Enter data'!C$32/G52)^2)</f>
        <v>1</v>
      </c>
      <c r="N52" s="24">
        <f>1+(2/PI())*ATAN(1.4*('Enter data'!D$32/H52)^2)</f>
        <v>1</v>
      </c>
      <c r="O52" s="1">
        <f t="shared" si="3"/>
        <v>4.1181094340727017E-2</v>
      </c>
      <c r="P52" s="1">
        <f t="shared" si="4"/>
        <v>0.27742477704750806</v>
      </c>
      <c r="Q52" s="16">
        <f>8.686*O52/2/'Enter data'!C$46</f>
        <v>3.5667247377758754E-3</v>
      </c>
      <c r="R52" s="16">
        <f>8.686*P52/2/'Enter data'!C$46</f>
        <v>2.40279630983171E-2</v>
      </c>
      <c r="S52" s="16">
        <f t="shared" si="5"/>
        <v>1.0871509198292718E-3</v>
      </c>
      <c r="T52" s="16">
        <f t="shared" si="6"/>
        <v>7.3238122099235246E-3</v>
      </c>
      <c r="U52">
        <f t="shared" si="27"/>
        <v>0.3186058713882351</v>
      </c>
      <c r="V52">
        <f>U52/(2*'Enter data'!$C$46)</f>
        <v>3.176915477330529E-3</v>
      </c>
      <c r="W52">
        <f t="shared" si="29"/>
        <v>2.7594306606235693E-2</v>
      </c>
      <c r="Y52" s="1"/>
      <c r="Z52" s="1">
        <f>4*PI()^2*D52*'Enter data'!$C$85*'Enter data'!$E$15*'Enter data'!$E$16/LN('Enter data'!$C$45)</f>
        <v>1.5544538393724999E-10</v>
      </c>
      <c r="AA52" s="16">
        <f>27.28753*'Enter data'!$E$15^0.5*'Enter data'!$E$16*D52/'Enter data'!$C$86</f>
        <v>3.3828267375204923E-8</v>
      </c>
      <c r="AB52" s="16">
        <f t="shared" si="26"/>
        <v>1.0310981277494794E-8</v>
      </c>
      <c r="AC52" s="19"/>
      <c r="AD52">
        <f>2*PI()/'Enter data'!$E$11/LN($C$3/$C$2)</f>
        <v>5.1880404392247992E-18</v>
      </c>
      <c r="AE52" s="14">
        <f>8.686*AD52*'Enter data'!$C$46/2</f>
        <v>1.1298253133715425E-15</v>
      </c>
      <c r="AF52" s="16">
        <f t="shared" si="7"/>
        <v>3.4437494311495441E-16</v>
      </c>
      <c r="AH52" s="1">
        <f t="shared" si="28"/>
        <v>2.7594721664361482E-2</v>
      </c>
      <c r="AI52" s="16">
        <f t="shared" si="9"/>
        <v>8.4109734407344181E-3</v>
      </c>
      <c r="AK52" s="1">
        <f t="shared" si="10"/>
        <v>2.4280870992130425E-3</v>
      </c>
      <c r="AL52" s="1">
        <f t="shared" si="11"/>
        <v>1.6357300186773446E-2</v>
      </c>
      <c r="AM52" s="1">
        <f t="shared" si="12"/>
        <v>1.8785387285986489E-2</v>
      </c>
      <c r="AN52" s="1">
        <f t="shared" si="13"/>
        <v>1.8785421114254994E-2</v>
      </c>
      <c r="AP52" s="1">
        <f t="shared" si="14"/>
        <v>3.5667247377758754E-3</v>
      </c>
      <c r="AQ52" s="1">
        <f t="shared" si="15"/>
        <v>2.40279630983171E-2</v>
      </c>
      <c r="AR52" s="1">
        <f t="shared" si="16"/>
        <v>2.7594687836092976E-2</v>
      </c>
      <c r="AS52" s="1">
        <f t="shared" si="17"/>
        <v>2.7594721664361482E-2</v>
      </c>
      <c r="AU52" s="1">
        <f t="shared" si="18"/>
        <v>3.2063963711420674E-3</v>
      </c>
      <c r="AV52" s="1">
        <f t="shared" si="19"/>
        <v>2.9853783031135062E-2</v>
      </c>
      <c r="AW52" s="1">
        <f t="shared" si="20"/>
        <v>3.306017940227713E-2</v>
      </c>
      <c r="AX52" s="1">
        <f t="shared" si="21"/>
        <v>3.3060213230545636E-2</v>
      </c>
    </row>
    <row r="53" spans="4:50" x14ac:dyDescent="0.25">
      <c r="D53" s="1">
        <f>D52*'Enter data'!$C$77</f>
        <v>1021.0822639168815</v>
      </c>
      <c r="E53">
        <f t="shared" si="2"/>
        <v>1.0210822639168816E-6</v>
      </c>
      <c r="G53" s="1">
        <f t="shared" si="22"/>
        <v>2.037219083839316E-3</v>
      </c>
      <c r="H53" s="1">
        <f t="shared" si="23"/>
        <v>2.037219083839316E-3</v>
      </c>
      <c r="I53" s="1">
        <f t="shared" si="24"/>
        <v>4.0516536248471649E-7</v>
      </c>
      <c r="J53" s="1">
        <f t="shared" si="25"/>
        <v>6.0188613453814005E-8</v>
      </c>
      <c r="K53" s="1">
        <f>'Enter data'!$C$86/D53</f>
        <v>293602.64945744257</v>
      </c>
      <c r="L53" s="1"/>
      <c r="M53" s="24">
        <f>1+(2/PI())*ATAN(1.4*('Enter data'!C$32/G53)^2)</f>
        <v>1</v>
      </c>
      <c r="N53" s="24">
        <f>1+(2/PI())*ATAN(1.4*('Enter data'!D$32/H53)^2)</f>
        <v>1</v>
      </c>
      <c r="O53" s="1">
        <f t="shared" si="3"/>
        <v>4.1291782440141547E-2</v>
      </c>
      <c r="P53" s="1">
        <f t="shared" si="4"/>
        <v>0.27795955148290363</v>
      </c>
      <c r="Q53" s="16">
        <f>8.686*O53/2/'Enter data'!C$46</f>
        <v>3.5763115151230904E-3</v>
      </c>
      <c r="R53" s="16">
        <f>8.686*P53/2/'Enter data'!C$46</f>
        <v>2.4074280303782159E-2</v>
      </c>
      <c r="S53" s="16">
        <f t="shared" si="5"/>
        <v>1.0900730050972599E-3</v>
      </c>
      <c r="T53" s="16">
        <f t="shared" si="6"/>
        <v>7.3379298658199704E-3</v>
      </c>
      <c r="U53">
        <f t="shared" si="27"/>
        <v>0.31925133392304517</v>
      </c>
      <c r="V53">
        <f>U53/(2*'Enter data'!$C$46)</f>
        <v>3.1833515794272679E-3</v>
      </c>
      <c r="W53">
        <f t="shared" si="29"/>
        <v>2.7650209816715714E-2</v>
      </c>
      <c r="Y53" s="1"/>
      <c r="Z53" s="1">
        <f>4*PI()^2*D53*'Enter data'!$C$85*'Enter data'!$E$15*'Enter data'!$E$16/LN('Enter data'!$C$45)</f>
        <v>1.8566636434197907E-10</v>
      </c>
      <c r="AA53" s="16">
        <f>27.28753*'Enter data'!$E$15^0.5*'Enter data'!$E$16*D53/'Enter data'!$C$86</f>
        <v>4.0405004358817733E-8</v>
      </c>
      <c r="AB53" s="16">
        <f t="shared" si="26"/>
        <v>1.2315595086203892E-8</v>
      </c>
      <c r="AC53" s="19"/>
      <c r="AD53">
        <f>2*PI()/'Enter data'!$E$11/LN($C$3/$C$2)</f>
        <v>5.1880404392247992E-18</v>
      </c>
      <c r="AE53" s="14">
        <f>8.686*AD53*'Enter data'!$C$46/2</f>
        <v>1.1298253133715425E-15</v>
      </c>
      <c r="AF53" s="16">
        <f t="shared" si="7"/>
        <v>3.4437494311495441E-16</v>
      </c>
      <c r="AH53" s="1">
        <f t="shared" si="28"/>
        <v>2.7650632223910742E-2</v>
      </c>
      <c r="AI53" s="16">
        <f t="shared" si="9"/>
        <v>8.4280151865126617E-3</v>
      </c>
      <c r="AK53" s="1">
        <f t="shared" si="10"/>
        <v>2.4346134033467102E-3</v>
      </c>
      <c r="AL53" s="1">
        <f t="shared" si="11"/>
        <v>1.6388831133883047E-2</v>
      </c>
      <c r="AM53" s="1">
        <f t="shared" si="12"/>
        <v>1.8823444537229755E-2</v>
      </c>
      <c r="AN53" s="1">
        <f t="shared" si="13"/>
        <v>1.8823484942235246E-2</v>
      </c>
      <c r="AP53" s="1">
        <f t="shared" si="14"/>
        <v>3.5763115151230904E-3</v>
      </c>
      <c r="AQ53" s="1">
        <f t="shared" si="15"/>
        <v>2.4074280303782159E-2</v>
      </c>
      <c r="AR53" s="1">
        <f t="shared" si="16"/>
        <v>2.7650591818905251E-2</v>
      </c>
      <c r="AS53" s="1">
        <f t="shared" si="17"/>
        <v>2.7650632223910742E-2</v>
      </c>
      <c r="AU53" s="1">
        <f t="shared" si="18"/>
        <v>3.2150146443077803E-3</v>
      </c>
      <c r="AV53" s="1">
        <f t="shared" si="19"/>
        <v>2.9911330306237178E-2</v>
      </c>
      <c r="AW53" s="1">
        <f t="shared" si="20"/>
        <v>3.3126344950544957E-2</v>
      </c>
      <c r="AX53" s="1">
        <f t="shared" si="21"/>
        <v>3.3126385355550445E-2</v>
      </c>
    </row>
    <row r="54" spans="4:50" x14ac:dyDescent="0.25">
      <c r="D54" s="1">
        <f>D53*'Enter data'!$C$77</f>
        <v>1219.5964063625991</v>
      </c>
      <c r="E54">
        <f t="shared" si="2"/>
        <v>1.219596406362599E-6</v>
      </c>
      <c r="G54" s="1">
        <f t="shared" si="22"/>
        <v>1.8640606304660948E-3</v>
      </c>
      <c r="H54" s="1">
        <f t="shared" si="23"/>
        <v>1.8640606304660948E-3</v>
      </c>
      <c r="I54" s="1">
        <f t="shared" si="24"/>
        <v>4.0397956339848532E-7</v>
      </c>
      <c r="J54" s="1">
        <f t="shared" si="25"/>
        <v>6.0062198249332793E-8</v>
      </c>
      <c r="K54" s="1">
        <f>'Enter data'!$C$86/D54</f>
        <v>245812.84139244052</v>
      </c>
      <c r="L54" s="1"/>
      <c r="M54" s="24">
        <f>1+(2/PI())*ATAN(1.4*('Enter data'!C$32/G54)^2)</f>
        <v>1</v>
      </c>
      <c r="N54" s="24">
        <f>1+(2/PI())*ATAN(1.4*('Enter data'!D$32/H54)^2)</f>
        <v>1</v>
      </c>
      <c r="O54" s="1">
        <f t="shared" si="3"/>
        <v>4.14129859918125E-2</v>
      </c>
      <c r="P54" s="1">
        <f t="shared" si="4"/>
        <v>0.27854458357567435</v>
      </c>
      <c r="Q54" s="16">
        <f>8.686*O54/2/'Enter data'!C$46</f>
        <v>3.5868090434907018E-3</v>
      </c>
      <c r="R54" s="16">
        <f>8.686*P54/2/'Enter data'!C$46</f>
        <v>2.412495036175618E-2</v>
      </c>
      <c r="S54" s="16">
        <f t="shared" si="5"/>
        <v>1.0932726906518842E-3</v>
      </c>
      <c r="T54" s="16">
        <f t="shared" si="6"/>
        <v>7.3533742872946171E-3</v>
      </c>
      <c r="U54">
        <f t="shared" si="27"/>
        <v>0.31995756956748683</v>
      </c>
      <c r="V54">
        <f>U54/(2*'Enter data'!$C$46)</f>
        <v>3.1903936685755098E-3</v>
      </c>
      <c r="W54">
        <f t="shared" si="29"/>
        <v>2.7711376558006647E-2</v>
      </c>
      <c r="Y54" s="1"/>
      <c r="Z54" s="1">
        <f>4*PI()^2*D54*'Enter data'!$C$85*'Enter data'!$E$15*'Enter data'!$E$16/LN('Enter data'!$C$45)</f>
        <v>2.2176276950034194E-10</v>
      </c>
      <c r="AA54" s="16">
        <f>27.28753*'Enter data'!$E$15^0.5*'Enter data'!$E$16*D54/'Enter data'!$C$86</f>
        <v>4.826036045915551E-8</v>
      </c>
      <c r="AB54" s="16">
        <f t="shared" si="26"/>
        <v>1.4709936740781366E-8</v>
      </c>
      <c r="AC54" s="19"/>
      <c r="AD54">
        <f>2*PI()/'Enter data'!$E$11/LN($C$3/$C$2)</f>
        <v>5.1880404392247992E-18</v>
      </c>
      <c r="AE54" s="14">
        <f>8.686*AD54*'Enter data'!$C$46/2</f>
        <v>1.1298253133715425E-15</v>
      </c>
      <c r="AF54" s="16">
        <f t="shared" si="7"/>
        <v>3.4437494311495441E-16</v>
      </c>
      <c r="AH54" s="1">
        <f t="shared" si="28"/>
        <v>2.7711807665608469E-2</v>
      </c>
      <c r="AI54" s="16">
        <f t="shared" si="9"/>
        <v>8.4466616878835863E-3</v>
      </c>
      <c r="AK54" s="1">
        <f t="shared" si="10"/>
        <v>2.4417597112557734E-3</v>
      </c>
      <c r="AL54" s="1">
        <f t="shared" si="11"/>
        <v>1.6423325333219496E-2</v>
      </c>
      <c r="AM54" s="1">
        <f t="shared" si="12"/>
        <v>1.8865085044475271E-2</v>
      </c>
      <c r="AN54" s="1">
        <f t="shared" si="13"/>
        <v>1.886513330483686E-2</v>
      </c>
      <c r="AP54" s="1">
        <f t="shared" si="14"/>
        <v>3.5868090434907018E-3</v>
      </c>
      <c r="AQ54" s="1">
        <f t="shared" si="15"/>
        <v>2.412495036175618E-2</v>
      </c>
      <c r="AR54" s="1">
        <f t="shared" si="16"/>
        <v>2.771175940524688E-2</v>
      </c>
      <c r="AS54" s="1">
        <f t="shared" si="17"/>
        <v>2.7711807665608469E-2</v>
      </c>
      <c r="AU54" s="1">
        <f t="shared" si="18"/>
        <v>3.2244516598720534E-3</v>
      </c>
      <c r="AV54" s="1">
        <f t="shared" si="19"/>
        <v>2.9974285826467582E-2</v>
      </c>
      <c r="AW54" s="1">
        <f t="shared" si="20"/>
        <v>3.3198737486339634E-2</v>
      </c>
      <c r="AX54" s="1">
        <f t="shared" si="21"/>
        <v>3.3198785746701223E-2</v>
      </c>
    </row>
    <row r="55" spans="4:50" x14ac:dyDescent="0.25">
      <c r="D55" s="1">
        <f>D54*'Enter data'!$C$77</f>
        <v>1456.7047602088649</v>
      </c>
      <c r="E55">
        <f t="shared" si="2"/>
        <v>1.4567047602088648E-6</v>
      </c>
      <c r="G55" s="1">
        <f t="shared" si="22"/>
        <v>1.7056202062986959E-3</v>
      </c>
      <c r="H55" s="1">
        <f t="shared" si="23"/>
        <v>1.7056202062986959E-3</v>
      </c>
      <c r="I55" s="1">
        <f t="shared" si="24"/>
        <v>4.0268882312188193E-7</v>
      </c>
      <c r="J55" s="1">
        <f t="shared" si="25"/>
        <v>5.9924497159050676E-8</v>
      </c>
      <c r="K55" s="1">
        <f>'Enter data'!$C$86/D55</f>
        <v>205801.79744659807</v>
      </c>
      <c r="L55" s="1"/>
      <c r="M55" s="24">
        <f>1+(2/PI())*ATAN(1.4*('Enter data'!C$32/G55)^2)</f>
        <v>1</v>
      </c>
      <c r="N55" s="24">
        <f>1+(2/PI())*ATAN(1.4*('Enter data'!D$32/H55)^2)</f>
        <v>1</v>
      </c>
      <c r="O55" s="1">
        <f t="shared" si="3"/>
        <v>4.154572722008807E-2</v>
      </c>
      <c r="P55" s="1">
        <f t="shared" si="4"/>
        <v>0.27918465390865932</v>
      </c>
      <c r="Q55" s="16">
        <f>8.686*O55/2/'Enter data'!C$46</f>
        <v>3.5983058584780833E-3</v>
      </c>
      <c r="R55" s="16">
        <f>8.686*P55/2/'Enter data'!C$46</f>
        <v>2.4180387322019666E-2</v>
      </c>
      <c r="S55" s="16">
        <f t="shared" si="5"/>
        <v>1.0967769624719834E-3</v>
      </c>
      <c r="T55" s="16">
        <f t="shared" si="6"/>
        <v>7.3702716782552014E-3</v>
      </c>
      <c r="U55">
        <f t="shared" si="27"/>
        <v>0.32073038112874741</v>
      </c>
      <c r="V55">
        <f>U55/(2*'Enter data'!$C$46)</f>
        <v>3.1980996063202568E-3</v>
      </c>
      <c r="W55">
        <f t="shared" si="29"/>
        <v>2.7778309408544991E-2</v>
      </c>
      <c r="Y55" s="1"/>
      <c r="Z55" s="1">
        <f>4*PI()^2*D55*'Enter data'!$C$85*'Enter data'!$E$15*'Enter data'!$E$16/LN('Enter data'!$C$45)</f>
        <v>2.6487687261371375E-10</v>
      </c>
      <c r="AA55" s="16">
        <f>27.28753*'Enter data'!$E$15^0.5*'Enter data'!$E$16*D55/'Enter data'!$C$86</f>
        <v>5.7642918955392717E-8</v>
      </c>
      <c r="AB55" s="16">
        <f t="shared" si="26"/>
        <v>1.7569775346071906E-8</v>
      </c>
      <c r="AC55" s="19"/>
      <c r="AD55">
        <f>2*PI()/'Enter data'!$E$11/LN($C$3/$C$2)</f>
        <v>5.1880404392247992E-18</v>
      </c>
      <c r="AE55" s="14">
        <f>8.686*AD55*'Enter data'!$C$46/2</f>
        <v>1.1298253133715425E-15</v>
      </c>
      <c r="AF55" s="16">
        <f t="shared" si="7"/>
        <v>3.4437494311495441E-16</v>
      </c>
      <c r="AH55" s="1">
        <f t="shared" si="28"/>
        <v>2.7778750823417835E-2</v>
      </c>
      <c r="AI55" s="16">
        <f t="shared" si="9"/>
        <v>8.4670662105028761E-3</v>
      </c>
      <c r="AK55" s="1">
        <f t="shared" si="10"/>
        <v>2.4495862945233984E-3</v>
      </c>
      <c r="AL55" s="1">
        <f t="shared" si="11"/>
        <v>1.6461064653725429E-2</v>
      </c>
      <c r="AM55" s="1">
        <f t="shared" si="12"/>
        <v>1.8910650948248828E-2</v>
      </c>
      <c r="AN55" s="1">
        <f t="shared" si="13"/>
        <v>1.8910708591168914E-2</v>
      </c>
      <c r="AP55" s="1">
        <f t="shared" si="14"/>
        <v>3.5983058584780833E-3</v>
      </c>
      <c r="AQ55" s="1">
        <f t="shared" si="15"/>
        <v>2.4180387322019666E-2</v>
      </c>
      <c r="AR55" s="1">
        <f t="shared" si="16"/>
        <v>2.7778693180497749E-2</v>
      </c>
      <c r="AS55" s="1">
        <f t="shared" si="17"/>
        <v>2.7778750823417835E-2</v>
      </c>
      <c r="AU55" s="1">
        <f t="shared" si="18"/>
        <v>3.2347870091253349E-3</v>
      </c>
      <c r="AV55" s="1">
        <f t="shared" si="19"/>
        <v>3.004316403211655E-2</v>
      </c>
      <c r="AW55" s="1">
        <f t="shared" si="20"/>
        <v>3.3277951041241885E-2</v>
      </c>
      <c r="AX55" s="1">
        <f t="shared" si="21"/>
        <v>3.3278008684161968E-2</v>
      </c>
    </row>
    <row r="56" spans="4:50" x14ac:dyDescent="0.25">
      <c r="D56" s="1">
        <f>D55*'Enter data'!$C$77</f>
        <v>1739.9106354731882</v>
      </c>
      <c r="E56">
        <f t="shared" si="2"/>
        <v>1.7399106354731882E-6</v>
      </c>
      <c r="G56" s="1">
        <f t="shared" si="22"/>
        <v>1.5606468161966367E-3</v>
      </c>
      <c r="H56" s="1">
        <f t="shared" si="23"/>
        <v>1.5606468161966367E-3</v>
      </c>
      <c r="I56" s="1">
        <f t="shared" si="24"/>
        <v>4.0128437720729051E-7</v>
      </c>
      <c r="J56" s="1">
        <f t="shared" si="25"/>
        <v>5.9774548417099239E-8</v>
      </c>
      <c r="K56" s="1">
        <f>'Enter data'!$C$86/D56</f>
        <v>172303.36540730903</v>
      </c>
      <c r="L56" s="1"/>
      <c r="M56" s="24">
        <f>1+(2/PI())*ATAN(1.4*('Enter data'!C$32/G56)^2)</f>
        <v>1</v>
      </c>
      <c r="N56" s="24">
        <f>1+(2/PI())*ATAN(1.4*('Enter data'!D$32/H56)^2)</f>
        <v>1</v>
      </c>
      <c r="O56" s="1">
        <f t="shared" si="3"/>
        <v>4.1691132150300049E-2</v>
      </c>
      <c r="P56" s="1">
        <f t="shared" si="4"/>
        <v>0.2798850086371239</v>
      </c>
      <c r="Q56" s="16">
        <f>8.686*O56/2/'Enter data'!C$46</f>
        <v>3.6108994859638086E-3</v>
      </c>
      <c r="R56" s="16">
        <f>8.686*P56/2/'Enter data'!C$46</f>
        <v>2.4241045557921927E-2</v>
      </c>
      <c r="S56" s="16">
        <f t="shared" si="5"/>
        <v>1.100615546806818E-3</v>
      </c>
      <c r="T56" s="16">
        <f t="shared" si="6"/>
        <v>7.388760533382689E-3</v>
      </c>
      <c r="U56">
        <f t="shared" si="27"/>
        <v>0.32157614078742397</v>
      </c>
      <c r="V56">
        <f>U56/(2*'Enter data'!$C$46)</f>
        <v>3.2065329316009364E-3</v>
      </c>
      <c r="W56">
        <f t="shared" si="29"/>
        <v>2.785156025993394E-2</v>
      </c>
      <c r="Y56" s="1"/>
      <c r="Z56" s="1">
        <f>4*PI()^2*D56*'Enter data'!$C$85*'Enter data'!$E$15*'Enter data'!$E$16/LN('Enter data'!$C$45)</f>
        <v>3.1637302241354545E-10</v>
      </c>
      <c r="AA56" s="16">
        <f>27.28753*'Enter data'!$E$15^0.5*'Enter data'!$E$16*D56/'Enter data'!$C$86</f>
        <v>6.8849591550608086E-8</v>
      </c>
      <c r="AB56" s="16">
        <f t="shared" si="26"/>
        <v>2.0985610689651329E-8</v>
      </c>
      <c r="AC56" s="19"/>
      <c r="AD56">
        <f>2*PI()/'Enter data'!$E$11/LN($C$3/$C$2)</f>
        <v>5.1880404392247992E-18</v>
      </c>
      <c r="AE56" s="14">
        <f>8.686*AD56*'Enter data'!$C$46/2</f>
        <v>1.1298253133715425E-15</v>
      </c>
      <c r="AF56" s="16">
        <f t="shared" si="7"/>
        <v>3.4437494311495441E-16</v>
      </c>
      <c r="AH56" s="1">
        <f t="shared" si="28"/>
        <v>2.7852013893478418E-2</v>
      </c>
      <c r="AI56" s="16">
        <f t="shared" si="9"/>
        <v>8.4893970658005413E-3</v>
      </c>
      <c r="AK56" s="1">
        <f t="shared" si="10"/>
        <v>2.458159544964208E-3</v>
      </c>
      <c r="AL56" s="1">
        <f t="shared" si="11"/>
        <v>1.6502358415056487E-2</v>
      </c>
      <c r="AM56" s="1">
        <f t="shared" si="12"/>
        <v>1.8960517960020695E-2</v>
      </c>
      <c r="AN56" s="1">
        <f t="shared" si="13"/>
        <v>1.8960586809613378E-2</v>
      </c>
      <c r="AP56" s="1">
        <f t="shared" si="14"/>
        <v>3.6108994859638086E-3</v>
      </c>
      <c r="AQ56" s="1">
        <f t="shared" si="15"/>
        <v>2.4241045557921927E-2</v>
      </c>
      <c r="AR56" s="1">
        <f t="shared" si="16"/>
        <v>2.7851945043885735E-2</v>
      </c>
      <c r="AS56" s="1">
        <f t="shared" si="17"/>
        <v>2.7852013893478418E-2</v>
      </c>
      <c r="AU56" s="1">
        <f t="shared" si="18"/>
        <v>3.2461083653943148E-3</v>
      </c>
      <c r="AV56" s="1">
        <f t="shared" si="19"/>
        <v>3.0118529463895673E-2</v>
      </c>
      <c r="AW56" s="1">
        <f t="shared" si="20"/>
        <v>3.3364637829289986E-2</v>
      </c>
      <c r="AX56" s="1">
        <f t="shared" si="21"/>
        <v>3.3364706678882666E-2</v>
      </c>
    </row>
    <row r="57" spans="4:50" x14ac:dyDescent="0.25">
      <c r="D57" s="1">
        <f>D56*'Enter data'!$C$77</f>
        <v>2078.1761013801147</v>
      </c>
      <c r="E57">
        <f t="shared" si="2"/>
        <v>2.0781761013801148E-6</v>
      </c>
      <c r="G57" s="1">
        <f t="shared" si="22"/>
        <v>1.4279957964323986E-3</v>
      </c>
      <c r="H57" s="1">
        <f t="shared" si="23"/>
        <v>1.4279957964323986E-3</v>
      </c>
      <c r="I57" s="1">
        <f t="shared" si="24"/>
        <v>3.9975682957985452E-7</v>
      </c>
      <c r="J57" s="1">
        <f t="shared" si="25"/>
        <v>5.961131707523466E-8</v>
      </c>
      <c r="K57" s="1">
        <f>'Enter data'!$C$86/D57</f>
        <v>144257.48510961517</v>
      </c>
      <c r="L57" s="1"/>
      <c r="M57" s="24">
        <f>1+(2/PI())*ATAN(1.4*('Enter data'!C$32/G57)^2)</f>
        <v>1</v>
      </c>
      <c r="N57" s="24">
        <f>1+(2/PI())*ATAN(1.4*('Enter data'!D$32/H57)^2)</f>
        <v>1</v>
      </c>
      <c r="O57" s="1">
        <f t="shared" si="3"/>
        <v>4.1850441973895168E-2</v>
      </c>
      <c r="P57" s="1">
        <f t="shared" si="4"/>
        <v>0.28065140682741985</v>
      </c>
      <c r="Q57" s="16">
        <f>8.686*O57/2/'Enter data'!C$46</f>
        <v>3.6246974264480055E-3</v>
      </c>
      <c r="R57" s="16">
        <f>8.686*P57/2/'Enter data'!C$46</f>
        <v>2.430742386641704E-2</v>
      </c>
      <c r="S57" s="16">
        <f t="shared" si="5"/>
        <v>1.1048212102072682E-3</v>
      </c>
      <c r="T57" s="16">
        <f t="shared" si="6"/>
        <v>7.40899288783743E-3</v>
      </c>
      <c r="U57">
        <f t="shared" si="27"/>
        <v>0.32250184880131499</v>
      </c>
      <c r="V57">
        <f>U57/(2*'Enter data'!$C$46)</f>
        <v>3.2157634461046562E-3</v>
      </c>
      <c r="W57">
        <f t="shared" si="29"/>
        <v>2.7931735401251507E-2</v>
      </c>
      <c r="Y57" s="1"/>
      <c r="Z57" s="1">
        <f>4*PI()^2*D57*'Enter data'!$C$85*'Enter data'!$E$15*'Enter data'!$E$16/LN('Enter data'!$C$45)</f>
        <v>3.778808180699561E-10</v>
      </c>
      <c r="AA57" s="16">
        <f>27.28753*'Enter data'!$E$15^0.5*'Enter data'!$E$16*D57/'Enter data'!$C$86</f>
        <v>8.2235014162864378E-8</v>
      </c>
      <c r="AB57" s="16">
        <f t="shared" si="26"/>
        <v>2.5065537113772366E-8</v>
      </c>
      <c r="AC57" s="19"/>
      <c r="AD57">
        <f>2*PI()/'Enter data'!$E$11/LN($C$3/$C$2)</f>
        <v>5.1880404392247992E-18</v>
      </c>
      <c r="AE57" s="14">
        <f>8.686*AD57*'Enter data'!$C$46/2</f>
        <v>1.1298253133715425E-15</v>
      </c>
      <c r="AF57" s="16">
        <f t="shared" si="7"/>
        <v>3.4437494311495441E-16</v>
      </c>
      <c r="AH57" s="1">
        <f t="shared" si="28"/>
        <v>2.7932203527880339E-2</v>
      </c>
      <c r="AI57" s="16">
        <f t="shared" si="9"/>
        <v>8.513839163582157E-3</v>
      </c>
      <c r="AK57" s="1">
        <f t="shared" si="10"/>
        <v>2.4675526447261705E-3</v>
      </c>
      <c r="AL57" s="1">
        <f t="shared" si="11"/>
        <v>1.654754617872593E-2</v>
      </c>
      <c r="AM57" s="1">
        <f t="shared" si="12"/>
        <v>1.9015098823452099E-2</v>
      </c>
      <c r="AN57" s="1">
        <f t="shared" si="13"/>
        <v>1.9015181058467393E-2</v>
      </c>
      <c r="AP57" s="1">
        <f t="shared" si="14"/>
        <v>3.6246974264480055E-3</v>
      </c>
      <c r="AQ57" s="1">
        <f t="shared" si="15"/>
        <v>2.430742386641704E-2</v>
      </c>
      <c r="AR57" s="1">
        <f t="shared" si="16"/>
        <v>2.7932121292865045E-2</v>
      </c>
      <c r="AS57" s="1">
        <f t="shared" si="17"/>
        <v>2.7932203527880339E-2</v>
      </c>
      <c r="AU57" s="1">
        <f t="shared" si="18"/>
        <v>3.2585123689410954E-3</v>
      </c>
      <c r="AV57" s="1">
        <f t="shared" si="19"/>
        <v>3.0201001857068515E-2</v>
      </c>
      <c r="AW57" s="1">
        <f t="shared" si="20"/>
        <v>3.345951422600961E-2</v>
      </c>
      <c r="AX57" s="1">
        <f t="shared" si="21"/>
        <v>3.3459596461024907E-2</v>
      </c>
    </row>
    <row r="58" spans="4:50" x14ac:dyDescent="0.25">
      <c r="D58" s="1">
        <f>D57*'Enter data'!$C$77</f>
        <v>2482.2055916526438</v>
      </c>
      <c r="E58">
        <f t="shared" si="2"/>
        <v>2.4822055916526437E-6</v>
      </c>
      <c r="G58" s="1">
        <f t="shared" si="22"/>
        <v>1.3066197767911069E-3</v>
      </c>
      <c r="H58" s="1">
        <f t="shared" si="23"/>
        <v>1.3066197767911069E-3</v>
      </c>
      <c r="I58" s="1">
        <f t="shared" si="24"/>
        <v>3.9809612676235784E-7</v>
      </c>
      <c r="J58" s="1">
        <f t="shared" si="25"/>
        <v>5.9433691144555462E-8</v>
      </c>
      <c r="K58" s="1">
        <f>'Enter data'!$C$86/D58</f>
        <v>120776.64276003795</v>
      </c>
      <c r="L58" s="1"/>
      <c r="M58" s="24">
        <f>1+(2/PI())*ATAN(1.4*('Enter data'!C$32/G58)^2)</f>
        <v>1</v>
      </c>
      <c r="N58" s="24">
        <f>1+(2/PI())*ATAN(1.4*('Enter data'!D$32/H58)^2)</f>
        <v>1</v>
      </c>
      <c r="O58" s="1">
        <f t="shared" si="3"/>
        <v>4.2025025804852706E-2</v>
      </c>
      <c r="P58" s="1">
        <f t="shared" si="4"/>
        <v>0.28149017296114187</v>
      </c>
      <c r="Q58" s="16">
        <f>8.686*O58/2/'Enter data'!C$46</f>
        <v>3.63981825989502E-3</v>
      </c>
      <c r="R58" s="16">
        <f>8.686*P58/2/'Enter data'!C$46</f>
        <v>2.4380070015487348E-2</v>
      </c>
      <c r="S58" s="16">
        <f t="shared" si="5"/>
        <v>1.1094300962859729E-3</v>
      </c>
      <c r="T58" s="16">
        <f t="shared" si="6"/>
        <v>7.4311357033306959E-3</v>
      </c>
      <c r="U58">
        <f t="shared" si="27"/>
        <v>0.32351519876599455</v>
      </c>
      <c r="V58">
        <f>U58/(2*'Enter data'!$C$46)</f>
        <v>3.2258678649991213E-3</v>
      </c>
      <c r="W58">
        <f t="shared" si="29"/>
        <v>2.8019501171238564E-2</v>
      </c>
      <c r="Y58" s="1"/>
      <c r="Z58" s="1">
        <f>4*PI()^2*D58*'Enter data'!$C$85*'Enter data'!$E$15*'Enter data'!$E$16/LN('Enter data'!$C$45)</f>
        <v>4.5134667796853705E-10</v>
      </c>
      <c r="AA58" s="16">
        <f>27.28753*'Enter data'!$E$15^0.5*'Enter data'!$E$16*D58/'Enter data'!$C$86</f>
        <v>9.8222769403005652E-8</v>
      </c>
      <c r="AB58" s="16">
        <f t="shared" si="26"/>
        <v>2.9938664168192407E-8</v>
      </c>
      <c r="AC58" s="19"/>
      <c r="AD58">
        <f>2*PI()/'Enter data'!$E$11/LN($C$3/$C$2)</f>
        <v>5.1880404392247992E-18</v>
      </c>
      <c r="AE58" s="14">
        <f>8.686*AD58*'Enter data'!$C$46/2</f>
        <v>1.1298253133715425E-15</v>
      </c>
      <c r="AF58" s="16">
        <f t="shared" si="7"/>
        <v>3.4437494311495441E-16</v>
      </c>
      <c r="AH58" s="1">
        <f t="shared" si="28"/>
        <v>2.8019986498152905E-2</v>
      </c>
      <c r="AI58" s="16">
        <f t="shared" si="9"/>
        <v>8.5405957382811825E-3</v>
      </c>
      <c r="AK58" s="1">
        <f t="shared" si="10"/>
        <v>2.4778463184243933E-3</v>
      </c>
      <c r="AL58" s="1">
        <f t="shared" si="11"/>
        <v>1.659700084381318E-2</v>
      </c>
      <c r="AM58" s="1">
        <f t="shared" si="12"/>
        <v>1.9074847162237573E-2</v>
      </c>
      <c r="AN58" s="1">
        <f t="shared" si="13"/>
        <v>1.9074945385008108E-2</v>
      </c>
      <c r="AP58" s="1">
        <f t="shared" si="14"/>
        <v>3.63981825989502E-3</v>
      </c>
      <c r="AQ58" s="1">
        <f t="shared" si="15"/>
        <v>2.4380070015487348E-2</v>
      </c>
      <c r="AR58" s="1">
        <f t="shared" si="16"/>
        <v>2.8019888275382369E-2</v>
      </c>
      <c r="AS58" s="1">
        <f t="shared" si="17"/>
        <v>2.8019986498152905E-2</v>
      </c>
      <c r="AU58" s="1">
        <f t="shared" si="18"/>
        <v>3.2721056201891253E-3</v>
      </c>
      <c r="AV58" s="1">
        <f t="shared" si="19"/>
        <v>3.0291261791442408E-2</v>
      </c>
      <c r="AW58" s="1">
        <f t="shared" si="20"/>
        <v>3.3563367411631531E-2</v>
      </c>
      <c r="AX58" s="1">
        <f t="shared" si="21"/>
        <v>3.3563465634402066E-2</v>
      </c>
    </row>
    <row r="59" spans="4:50" x14ac:dyDescent="0.25">
      <c r="D59" s="1">
        <f>D58*'Enter data'!$C$77</f>
        <v>2964.7846470469508</v>
      </c>
      <c r="E59">
        <f t="shared" si="2"/>
        <v>2.9647846470469509E-6</v>
      </c>
      <c r="G59" s="1">
        <f t="shared" si="22"/>
        <v>1.1955604108688028E-3</v>
      </c>
      <c r="H59" s="1">
        <f t="shared" si="23"/>
        <v>1.1955604108688028E-3</v>
      </c>
      <c r="I59" s="1">
        <f t="shared" si="24"/>
        <v>3.962915353465374E-7</v>
      </c>
      <c r="J59" s="1">
        <f t="shared" si="25"/>
        <v>5.9240477891302578E-8</v>
      </c>
      <c r="K59" s="1">
        <f>'Enter data'!$C$86/D59</f>
        <v>101117.78550209568</v>
      </c>
      <c r="L59" s="1"/>
      <c r="M59" s="24">
        <f>1+(2/PI())*ATAN(1.4*('Enter data'!C$32/G59)^2)</f>
        <v>1</v>
      </c>
      <c r="N59" s="24">
        <f>1+(2/PI())*ATAN(1.4*('Enter data'!D$32/H59)^2)</f>
        <v>1</v>
      </c>
      <c r="O59" s="1">
        <f t="shared" si="3"/>
        <v>4.2216395021837751E-2</v>
      </c>
      <c r="P59" s="1">
        <f t="shared" si="4"/>
        <v>0.28240825522537227</v>
      </c>
      <c r="Q59" s="16">
        <f>8.686*O59/2/'Enter data'!C$46</f>
        <v>3.6563928879178192E-3</v>
      </c>
      <c r="R59" s="16">
        <f>8.686*P59/2/'Enter data'!C$46</f>
        <v>2.4459585792704214E-2</v>
      </c>
      <c r="S59" s="16">
        <f t="shared" si="5"/>
        <v>1.1144821043397399E-3</v>
      </c>
      <c r="T59" s="16">
        <f t="shared" si="6"/>
        <v>7.4553724069447123E-3</v>
      </c>
      <c r="U59">
        <f t="shared" si="27"/>
        <v>0.32462465024721004</v>
      </c>
      <c r="V59">
        <f>U59/(2*'Enter data'!$C$46)</f>
        <v>3.2369305411722349E-3</v>
      </c>
      <c r="W59">
        <f t="shared" si="29"/>
        <v>2.811559024895709E-2</v>
      </c>
      <c r="Y59" s="1"/>
      <c r="Z59" s="1">
        <f>4*PI()^2*D59*'Enter data'!$C$85*'Enter data'!$E$15*'Enter data'!$E$16/LN('Enter data'!$C$45)</f>
        <v>5.3909543425282116E-10</v>
      </c>
      <c r="AA59" s="16">
        <f>27.28753*'Enter data'!$E$15^0.5*'Enter data'!$E$16*D59/'Enter data'!$C$86</f>
        <v>1.1731879087524656E-7</v>
      </c>
      <c r="AB59" s="16">
        <f t="shared" si="26"/>
        <v>3.5759202290675E-8</v>
      </c>
      <c r="AC59" s="19"/>
      <c r="AD59">
        <f>2*PI()/'Enter data'!$E$11/LN($C$3/$C$2)</f>
        <v>5.1880404392247992E-18</v>
      </c>
      <c r="AE59" s="14">
        <f>8.686*AD59*'Enter data'!$C$46/2</f>
        <v>1.1298253133715425E-15</v>
      </c>
      <c r="AF59" s="16">
        <f t="shared" si="7"/>
        <v>3.4437494311495441E-16</v>
      </c>
      <c r="AH59" s="1">
        <f t="shared" si="28"/>
        <v>2.8116095999414042E-2</v>
      </c>
      <c r="AI59" s="16">
        <f t="shared" si="9"/>
        <v>8.5698902704870895E-3</v>
      </c>
      <c r="AK59" s="1">
        <f t="shared" si="10"/>
        <v>2.4891296787718223E-3</v>
      </c>
      <c r="AL59" s="1">
        <f t="shared" si="11"/>
        <v>1.6651132083827111E-2</v>
      </c>
      <c r="AM59" s="1">
        <f t="shared" si="12"/>
        <v>1.9140261762598934E-2</v>
      </c>
      <c r="AN59" s="1">
        <f t="shared" si="13"/>
        <v>1.9140379081390942E-2</v>
      </c>
      <c r="AP59" s="1">
        <f t="shared" si="14"/>
        <v>3.6563928879178192E-3</v>
      </c>
      <c r="AQ59" s="1">
        <f t="shared" si="15"/>
        <v>2.4459585792704214E-2</v>
      </c>
      <c r="AR59" s="1">
        <f t="shared" si="16"/>
        <v>2.8115978680622034E-2</v>
      </c>
      <c r="AS59" s="1">
        <f t="shared" si="17"/>
        <v>2.8116095999414042E-2</v>
      </c>
      <c r="AU59" s="1">
        <f t="shared" si="18"/>
        <v>3.2870057964159215E-3</v>
      </c>
      <c r="AV59" s="1">
        <f t="shared" si="19"/>
        <v>3.0390056964003275E-2</v>
      </c>
      <c r="AW59" s="1">
        <f t="shared" si="20"/>
        <v>3.3677062760419194E-2</v>
      </c>
      <c r="AX59" s="1">
        <f t="shared" si="21"/>
        <v>3.3677180079211201E-2</v>
      </c>
    </row>
    <row r="60" spans="4:50" x14ac:dyDescent="0.25">
      <c r="D60" s="1">
        <f>D59*'Enter data'!$C$77</f>
        <v>3541.1845146610103</v>
      </c>
      <c r="E60">
        <f t="shared" si="2"/>
        <v>3.5411845146610101E-6</v>
      </c>
      <c r="G60" s="1">
        <f t="shared" si="22"/>
        <v>1.0939408092743854E-3</v>
      </c>
      <c r="H60" s="1">
        <f t="shared" si="23"/>
        <v>1.0939408092743854E-3</v>
      </c>
      <c r="I60" s="1">
        <f t="shared" si="24"/>
        <v>3.9433162389278164E-7</v>
      </c>
      <c r="J60" s="1">
        <f t="shared" si="25"/>
        <v>5.90304003836522E-8</v>
      </c>
      <c r="K60" s="1">
        <f>'Enter data'!$C$86/D60</f>
        <v>84658.807458017603</v>
      </c>
      <c r="L60" s="1"/>
      <c r="M60" s="24">
        <f>1+(2/PI())*ATAN(1.4*('Enter data'!C$32/G60)^2)</f>
        <v>1</v>
      </c>
      <c r="N60" s="24">
        <f>1+(2/PI())*ATAN(1.4*('Enter data'!D$32/H60)^2)</f>
        <v>1</v>
      </c>
      <c r="O60" s="1">
        <f t="shared" si="3"/>
        <v>4.2426219421217083E-2</v>
      </c>
      <c r="P60" s="1">
        <f t="shared" si="4"/>
        <v>0.28341329029225398</v>
      </c>
      <c r="Q60" s="16">
        <f>8.686*O60/2/'Enter data'!C$46</f>
        <v>3.6745659328025226E-3</v>
      </c>
      <c r="R60" s="16">
        <f>8.686*P60/2/'Enter data'!C$46</f>
        <v>2.4546632615834264E-2</v>
      </c>
      <c r="S60" s="16">
        <f t="shared" si="5"/>
        <v>1.1200213157774087E-3</v>
      </c>
      <c r="T60" s="16">
        <f t="shared" si="6"/>
        <v>7.4819046012662349E-3</v>
      </c>
      <c r="U60">
        <f t="shared" si="27"/>
        <v>0.32583950971347109</v>
      </c>
      <c r="V60">
        <f>U60/(2*'Enter data'!$C$46)</f>
        <v>3.2490442722354121E-3</v>
      </c>
      <c r="W60">
        <f t="shared" si="29"/>
        <v>2.8220808663324118E-2</v>
      </c>
      <c r="Y60" s="1"/>
      <c r="Z60" s="1">
        <f>4*PI()^2*D60*'Enter data'!$C$85*'Enter data'!$E$15*'Enter data'!$E$16/LN('Enter data'!$C$45)</f>
        <v>6.4390390229591312E-10</v>
      </c>
      <c r="AA60" s="16">
        <f>27.28753*'Enter data'!$E$15^0.5*'Enter data'!$E$16*D60/'Enter data'!$C$86</f>
        <v>1.401273734805594E-7</v>
      </c>
      <c r="AB60" s="16">
        <f t="shared" si="26"/>
        <v>4.2711342806803032E-8</v>
      </c>
      <c r="AC60" s="19"/>
      <c r="AD60">
        <f>2*PI()/'Enter data'!$E$11/LN($C$3/$C$2)</f>
        <v>5.1880404392247992E-18</v>
      </c>
      <c r="AE60" s="14">
        <f>8.686*AD60*'Enter data'!$C$46/2</f>
        <v>1.1298253133715425E-15</v>
      </c>
      <c r="AF60" s="16">
        <f t="shared" si="7"/>
        <v>3.4437494311495441E-16</v>
      </c>
      <c r="AH60" s="1">
        <f t="shared" si="28"/>
        <v>2.8221338676011398E-2</v>
      </c>
      <c r="AI60" s="16">
        <f t="shared" si="9"/>
        <v>8.6019686283867955E-3</v>
      </c>
      <c r="AK60" s="1">
        <f t="shared" si="10"/>
        <v>2.5015011789805779E-3</v>
      </c>
      <c r="AL60" s="1">
        <f t="shared" si="11"/>
        <v>1.6710390166187947E-2</v>
      </c>
      <c r="AM60" s="1">
        <f t="shared" si="12"/>
        <v>1.9211891345168524E-2</v>
      </c>
      <c r="AN60" s="1">
        <f t="shared" si="13"/>
        <v>1.9212031472543134E-2</v>
      </c>
      <c r="AP60" s="1">
        <f t="shared" si="14"/>
        <v>3.6745659328025226E-3</v>
      </c>
      <c r="AQ60" s="1">
        <f t="shared" si="15"/>
        <v>2.4546632615834264E-2</v>
      </c>
      <c r="AR60" s="1">
        <f t="shared" si="16"/>
        <v>2.8221198548636788E-2</v>
      </c>
      <c r="AS60" s="1">
        <f t="shared" si="17"/>
        <v>2.8221338676011398E-2</v>
      </c>
      <c r="AU60" s="1">
        <f t="shared" si="18"/>
        <v>3.3033429094411477E-3</v>
      </c>
      <c r="AV60" s="1">
        <f t="shared" si="19"/>
        <v>3.0498209159869439E-2</v>
      </c>
      <c r="AW60" s="1">
        <f t="shared" si="20"/>
        <v>3.3801552069310584E-2</v>
      </c>
      <c r="AX60" s="1">
        <f t="shared" si="21"/>
        <v>3.3801692196685197E-2</v>
      </c>
    </row>
    <row r="61" spans="4:50" x14ac:dyDescent="0.25">
      <c r="D61" s="1">
        <f>D60*'Enter data'!$C$77</f>
        <v>4229.6454075898182</v>
      </c>
      <c r="E61">
        <f t="shared" si="2"/>
        <v>4.229645407589818E-6</v>
      </c>
      <c r="G61" s="1">
        <f t="shared" si="22"/>
        <v>1.000958615990188E-3</v>
      </c>
      <c r="H61" s="1">
        <f t="shared" si="23"/>
        <v>1.000958615990188E-3</v>
      </c>
      <c r="I61" s="1">
        <f t="shared" si="24"/>
        <v>3.9220425066097029E-7</v>
      </c>
      <c r="J61" s="1">
        <f t="shared" si="25"/>
        <v>5.8802094406767776E-8</v>
      </c>
      <c r="K61" s="1">
        <f>'Enter data'!$C$86/D61</f>
        <v>70878.863145842508</v>
      </c>
      <c r="L61" s="1"/>
      <c r="M61" s="24">
        <f>1+(2/PI())*ATAN(1.4*('Enter data'!C$32/G61)^2)</f>
        <v>1</v>
      </c>
      <c r="N61" s="24">
        <f>1+(2/PI())*ATAN(1.4*('Enter data'!D$32/H61)^2)</f>
        <v>1</v>
      </c>
      <c r="O61" s="1">
        <f t="shared" si="3"/>
        <v>4.2656345441961487E-2</v>
      </c>
      <c r="P61" s="1">
        <f t="shared" si="4"/>
        <v>0.28451367538491074</v>
      </c>
      <c r="Q61" s="16">
        <f>8.686*O61/2/'Enter data'!C$46</f>
        <v>3.6944973159805366E-3</v>
      </c>
      <c r="R61" s="16">
        <f>8.686*P61/2/'Enter data'!C$46</f>
        <v>2.464193777452154E-2</v>
      </c>
      <c r="S61" s="16">
        <f t="shared" si="5"/>
        <v>1.1260964752440065E-3</v>
      </c>
      <c r="T61" s="16">
        <f t="shared" si="6"/>
        <v>7.5109539668744025E-3</v>
      </c>
      <c r="U61">
        <f t="shared" si="27"/>
        <v>0.32717002082687224</v>
      </c>
      <c r="V61">
        <f>U61/(2*'Enter data'!$C$46)</f>
        <v>3.2623112008406722E-3</v>
      </c>
      <c r="W61">
        <f t="shared" si="29"/>
        <v>2.8336043613157974E-2</v>
      </c>
      <c r="Y61" s="1"/>
      <c r="Z61" s="1">
        <f>4*PI()^2*D61*'Enter data'!$C$85*'Enter data'!$E$15*'Enter data'!$E$16/LN('Enter data'!$C$45)</f>
        <v>7.6908875321222417E-10</v>
      </c>
      <c r="AA61" s="16">
        <f>27.28753*'Enter data'!$E$15^0.5*'Enter data'!$E$16*D61/'Enter data'!$C$86</f>
        <v>1.6737029637000097E-7</v>
      </c>
      <c r="AB61" s="16">
        <f t="shared" si="26"/>
        <v>5.1015086677030283E-8</v>
      </c>
      <c r="AC61" s="19"/>
      <c r="AD61">
        <f>2*PI()/'Enter data'!$E$11/LN($C$3/$C$2)</f>
        <v>5.1880404392247992E-18</v>
      </c>
      <c r="AE61" s="14">
        <f>8.686*AD61*'Enter data'!$C$46/2</f>
        <v>1.1298253133715425E-15</v>
      </c>
      <c r="AF61" s="16">
        <f t="shared" si="7"/>
        <v>3.4437494311495441E-16</v>
      </c>
      <c r="AH61" s="1">
        <f t="shared" si="28"/>
        <v>2.8336602460799578E-2</v>
      </c>
      <c r="AI61" s="16">
        <f t="shared" si="9"/>
        <v>8.637101457205431E-3</v>
      </c>
      <c r="AK61" s="1">
        <f t="shared" si="10"/>
        <v>2.5150696873242257E-3</v>
      </c>
      <c r="AL61" s="1">
        <f t="shared" si="11"/>
        <v>1.6775270201321055E-2</v>
      </c>
      <c r="AM61" s="1">
        <f t="shared" si="12"/>
        <v>1.9290339888645282E-2</v>
      </c>
      <c r="AN61" s="1">
        <f t="shared" si="13"/>
        <v>1.9290507258942782E-2</v>
      </c>
      <c r="AP61" s="1">
        <f t="shared" si="14"/>
        <v>3.6944973159805366E-3</v>
      </c>
      <c r="AQ61" s="1">
        <f t="shared" si="15"/>
        <v>2.464193777452154E-2</v>
      </c>
      <c r="AR61" s="1">
        <f t="shared" si="16"/>
        <v>2.8336435090502078E-2</v>
      </c>
      <c r="AS61" s="1">
        <f t="shared" si="17"/>
        <v>2.8336602460799578E-2</v>
      </c>
      <c r="AU61" s="1">
        <f t="shared" si="18"/>
        <v>3.3212607246336026E-3</v>
      </c>
      <c r="AV61" s="1">
        <f t="shared" si="19"/>
        <v>3.061662200733203E-2</v>
      </c>
      <c r="AW61" s="1">
        <f t="shared" si="20"/>
        <v>3.393788273196563E-2</v>
      </c>
      <c r="AX61" s="1">
        <f t="shared" si="21"/>
        <v>3.3938050102263133E-2</v>
      </c>
    </row>
    <row r="62" spans="4:50" x14ac:dyDescent="0.25">
      <c r="D62" s="1">
        <f>D61*'Enter data'!$C$77</f>
        <v>5051.9537177119382</v>
      </c>
      <c r="E62">
        <f t="shared" si="2"/>
        <v>5.0519537177119386E-6</v>
      </c>
      <c r="G62" s="1">
        <f t="shared" si="22"/>
        <v>9.1587967322433878E-4</v>
      </c>
      <c r="H62" s="1">
        <f t="shared" si="23"/>
        <v>9.1587967322433878E-4</v>
      </c>
      <c r="I62" s="1">
        <f t="shared" si="24"/>
        <v>3.8989655882216414E-7</v>
      </c>
      <c r="J62" s="1">
        <f t="shared" si="25"/>
        <v>5.8554105886456256E-8</v>
      </c>
      <c r="K62" s="1">
        <f>'Enter data'!$C$86/D62</f>
        <v>59341.885288643913</v>
      </c>
      <c r="L62" s="1"/>
      <c r="M62" s="24">
        <f>1+(2/PI())*ATAN(1.4*('Enter data'!C$32/G62)^2)</f>
        <v>1</v>
      </c>
      <c r="N62" s="24">
        <f>1+(2/PI())*ATAN(1.4*('Enter data'!D$32/H62)^2)</f>
        <v>1</v>
      </c>
      <c r="O62" s="1">
        <f t="shared" si="3"/>
        <v>4.290881676550197E-2</v>
      </c>
      <c r="P62" s="1">
        <f t="shared" si="4"/>
        <v>0.28571864853408513</v>
      </c>
      <c r="Q62" s="16">
        <f>8.686*O62/2/'Enter data'!C$46</f>
        <v>3.7163640421971904E-3</v>
      </c>
      <c r="R62" s="16">
        <f>8.686*P62/2/'Enter data'!C$46</f>
        <v>2.4746301381373667E-2</v>
      </c>
      <c r="S62" s="16">
        <f t="shared" si="5"/>
        <v>1.1327615344419624E-3</v>
      </c>
      <c r="T62" s="16">
        <f t="shared" si="6"/>
        <v>7.542764381057567E-3</v>
      </c>
      <c r="U62">
        <f t="shared" si="27"/>
        <v>0.32862746529958708</v>
      </c>
      <c r="V62">
        <f>U62/(2*'Enter data'!$C$46)</f>
        <v>3.2768438203512381E-3</v>
      </c>
      <c r="W62">
        <f t="shared" si="29"/>
        <v>2.846227220231241E-2</v>
      </c>
      <c r="Y62" s="1"/>
      <c r="Z62" s="1">
        <f>4*PI()^2*D62*'Enter data'!$C$85*'Enter data'!$E$15*'Enter data'!$E$16/LN('Enter data'!$C$45)</f>
        <v>9.1861147014093475E-10</v>
      </c>
      <c r="AA62" s="16">
        <f>27.28753*'Enter data'!$E$15^0.5*'Enter data'!$E$16*D62/'Enter data'!$C$86</f>
        <v>1.9990966369514032E-7</v>
      </c>
      <c r="AB62" s="16">
        <f t="shared" si="26"/>
        <v>6.0933206442069102E-8</v>
      </c>
      <c r="AC62" s="19"/>
      <c r="AD62">
        <f>2*PI()/'Enter data'!$E$11/LN($C$3/$C$2)</f>
        <v>5.1880404392247992E-18</v>
      </c>
      <c r="AE62" s="14">
        <f>8.686*AD62*'Enter data'!$C$46/2</f>
        <v>1.1298253133715425E-15</v>
      </c>
      <c r="AF62" s="16">
        <f t="shared" si="7"/>
        <v>3.4437494311495441E-16</v>
      </c>
      <c r="AH62" s="1">
        <f t="shared" si="28"/>
        <v>2.8462865333235682E-2</v>
      </c>
      <c r="AI62" s="16">
        <f t="shared" si="9"/>
        <v>8.6755868487063161E-3</v>
      </c>
      <c r="AK62" s="1">
        <f t="shared" si="10"/>
        <v>2.5299557017302013E-3</v>
      </c>
      <c r="AL62" s="1">
        <f t="shared" si="11"/>
        <v>1.6846316874685317E-2</v>
      </c>
      <c r="AM62" s="1">
        <f t="shared" si="12"/>
        <v>1.9376272576415519E-2</v>
      </c>
      <c r="AN62" s="1">
        <f t="shared" si="13"/>
        <v>1.9376472486080345E-2</v>
      </c>
      <c r="AP62" s="1">
        <f t="shared" si="14"/>
        <v>3.7163640421971904E-3</v>
      </c>
      <c r="AQ62" s="1">
        <f t="shared" si="15"/>
        <v>2.4746301381373667E-2</v>
      </c>
      <c r="AR62" s="1">
        <f t="shared" si="16"/>
        <v>2.8462665423570857E-2</v>
      </c>
      <c r="AS62" s="1">
        <f t="shared" si="17"/>
        <v>2.8462865333235682E-2</v>
      </c>
      <c r="AU62" s="1">
        <f t="shared" si="18"/>
        <v>3.3409183648342193E-3</v>
      </c>
      <c r="AV62" s="1">
        <f t="shared" si="19"/>
        <v>3.0746289614301522E-2</v>
      </c>
      <c r="AW62" s="1">
        <f t="shared" si="20"/>
        <v>3.4087207979135739E-2</v>
      </c>
      <c r="AX62" s="1">
        <f t="shared" si="21"/>
        <v>3.4087407888800568E-2</v>
      </c>
    </row>
    <row r="63" spans="4:50" x14ac:dyDescent="0.25">
      <c r="D63" s="1">
        <f>D62*'Enter data'!$C$77</f>
        <v>6034.1314475453464</v>
      </c>
      <c r="E63">
        <f t="shared" si="2"/>
        <v>6.0341314475453467E-6</v>
      </c>
      <c r="G63" s="1">
        <f t="shared" si="22"/>
        <v>8.3803222473459807E-4</v>
      </c>
      <c r="H63" s="1">
        <f t="shared" si="23"/>
        <v>8.3803222473459807E-4</v>
      </c>
      <c r="I63" s="1">
        <f t="shared" si="24"/>
        <v>3.8739498107340053E-7</v>
      </c>
      <c r="J63" s="1">
        <f t="shared" si="25"/>
        <v>5.8284888987770826E-8</v>
      </c>
      <c r="K63" s="1">
        <f>'Enter data'!$C$86/D63</f>
        <v>49682.785435831698</v>
      </c>
      <c r="L63" s="1"/>
      <c r="M63" s="24">
        <f>1+(2/PI())*ATAN(1.4*('Enter data'!C$32/G63)^2)</f>
        <v>1</v>
      </c>
      <c r="N63" s="24">
        <f>1+(2/PI())*ATAN(1.4*('Enter data'!D$32/H63)^2)</f>
        <v>1</v>
      </c>
      <c r="O63" s="1">
        <f t="shared" si="3"/>
        <v>4.3185897642876621E-2</v>
      </c>
      <c r="P63" s="1">
        <f t="shared" si="4"/>
        <v>0.28703837805216109</v>
      </c>
      <c r="Q63" s="16">
        <f>8.686*O63/2/'Enter data'!C$46</f>
        <v>3.7403622198930037E-3</v>
      </c>
      <c r="R63" s="16">
        <f>8.686*P63/2/'Enter data'!C$46</f>
        <v>2.4860604121372476E-2</v>
      </c>
      <c r="S63" s="16">
        <f t="shared" si="5"/>
        <v>1.1400762679508057E-3</v>
      </c>
      <c r="T63" s="16">
        <f t="shared" si="6"/>
        <v>7.5776042798623737E-3</v>
      </c>
      <c r="U63">
        <f t="shared" si="27"/>
        <v>0.33022427569503771</v>
      </c>
      <c r="V63">
        <f>U63/(2*'Enter data'!$C$46)</f>
        <v>3.2927660996161039E-3</v>
      </c>
      <c r="W63">
        <f t="shared" si="29"/>
        <v>2.8600571209333521E-2</v>
      </c>
      <c r="Y63" s="1"/>
      <c r="Z63" s="1">
        <f>4*PI()^2*D63*'Enter data'!$C$85*'Enter data'!$E$15*'Enter data'!$E$16/LN('Enter data'!$C$45)</f>
        <v>1.0972037096499267E-9</v>
      </c>
      <c r="AA63" s="16">
        <f>27.28753*'Enter data'!$E$15^0.5*'Enter data'!$E$16*D63/'Enter data'!$C$86</f>
        <v>2.3877518595269176E-7</v>
      </c>
      <c r="AB63" s="16">
        <f t="shared" si="26"/>
        <v>7.2779561677850454E-8</v>
      </c>
      <c r="AC63" s="19"/>
      <c r="AD63">
        <f>2*PI()/'Enter data'!$E$11/LN($C$3/$C$2)</f>
        <v>5.1880404392247992E-18</v>
      </c>
      <c r="AE63" s="14">
        <f>8.686*AD63*'Enter data'!$C$46/2</f>
        <v>1.1298253133715425E-15</v>
      </c>
      <c r="AF63" s="16">
        <f t="shared" si="7"/>
        <v>3.4437494311495441E-16</v>
      </c>
      <c r="AH63" s="1">
        <f t="shared" si="28"/>
        <v>2.8601205116452564E-2</v>
      </c>
      <c r="AI63" s="16">
        <f t="shared" si="9"/>
        <v>8.7177533273752016E-3</v>
      </c>
      <c r="AK63" s="1">
        <f t="shared" si="10"/>
        <v>2.546292725176581E-3</v>
      </c>
      <c r="AL63" s="1">
        <f t="shared" si="11"/>
        <v>1.6924129722269646E-2</v>
      </c>
      <c r="AM63" s="1">
        <f t="shared" si="12"/>
        <v>1.9470422447446227E-2</v>
      </c>
      <c r="AN63" s="1">
        <f t="shared" si="13"/>
        <v>1.9470661222633311E-2</v>
      </c>
      <c r="AP63" s="1">
        <f t="shared" si="14"/>
        <v>3.7403622198930037E-3</v>
      </c>
      <c r="AQ63" s="1">
        <f t="shared" si="15"/>
        <v>2.4860604121372476E-2</v>
      </c>
      <c r="AR63" s="1">
        <f t="shared" si="16"/>
        <v>2.860096634126548E-2</v>
      </c>
      <c r="AS63" s="1">
        <f t="shared" si="17"/>
        <v>2.8601205116452564E-2</v>
      </c>
      <c r="AU63" s="1">
        <f t="shared" si="18"/>
        <v>3.3624921266283128E-3</v>
      </c>
      <c r="AV63" s="1">
        <f t="shared" si="19"/>
        <v>3.0888306196640444E-2</v>
      </c>
      <c r="AW63" s="1">
        <f t="shared" si="20"/>
        <v>3.4250798323268758E-2</v>
      </c>
      <c r="AX63" s="1">
        <f t="shared" si="21"/>
        <v>3.4251037098455839E-2</v>
      </c>
    </row>
    <row r="64" spans="4:50" x14ac:dyDescent="0.25">
      <c r="D64" s="1">
        <f>D63*'Enter data'!$C$77</f>
        <v>7207.2596782906303</v>
      </c>
      <c r="E64">
        <f t="shared" si="2"/>
        <v>7.2072596782906306E-6</v>
      </c>
      <c r="G64" s="1">
        <f t="shared" si="22"/>
        <v>7.6680161185496308E-4</v>
      </c>
      <c r="H64" s="1">
        <f t="shared" si="23"/>
        <v>7.6680161185496308E-4</v>
      </c>
      <c r="I64" s="1">
        <f t="shared" si="24"/>
        <v>3.8468525587412289E-7</v>
      </c>
      <c r="J64" s="1">
        <f t="shared" si="25"/>
        <v>5.7992805083879829E-8</v>
      </c>
      <c r="K64" s="1">
        <f>'Enter data'!$C$86/D64</f>
        <v>41595.900714250769</v>
      </c>
      <c r="L64" s="1"/>
      <c r="M64" s="24">
        <f>1+(2/PI())*ATAN(1.4*('Enter data'!C$32/G64)^2)</f>
        <v>1</v>
      </c>
      <c r="N64" s="24">
        <f>1+(2/PI())*ATAN(1.4*('Enter data'!D$32/H64)^2)</f>
        <v>1</v>
      </c>
      <c r="O64" s="1">
        <f t="shared" si="3"/>
        <v>4.3490099359239309E-2</v>
      </c>
      <c r="P64" s="1">
        <f t="shared" si="4"/>
        <v>0.28848406239018803</v>
      </c>
      <c r="Q64" s="16">
        <f>8.686*O64/2/'Enter data'!C$46</f>
        <v>3.7667093533141674E-3</v>
      </c>
      <c r="R64" s="16">
        <f>8.686*P64/2/'Enter data'!C$46</f>
        <v>2.4985815900563986E-2</v>
      </c>
      <c r="S64" s="16">
        <f t="shared" si="5"/>
        <v>1.148106971870936E-3</v>
      </c>
      <c r="T64" s="16">
        <f t="shared" si="6"/>
        <v>7.6157692942465209E-3</v>
      </c>
      <c r="U64">
        <f t="shared" si="27"/>
        <v>0.33197416174942734</v>
      </c>
      <c r="V64">
        <f>U64/(2*'Enter data'!$C$46)</f>
        <v>3.3102147425602296E-3</v>
      </c>
      <c r="W64">
        <f t="shared" si="29"/>
        <v>2.8752128028109045E-2</v>
      </c>
      <c r="Y64" s="1"/>
      <c r="Z64" s="1">
        <f>4*PI()^2*D64*'Enter data'!$C$85*'Enter data'!$E$15*'Enter data'!$E$16/LN('Enter data'!$C$45)</f>
        <v>1.3105170353303595E-9</v>
      </c>
      <c r="AA64" s="16">
        <f>27.28753*'Enter data'!$E$15^0.5*'Enter data'!$E$16*D64/'Enter data'!$C$86</f>
        <v>2.8519676524336273E-7</v>
      </c>
      <c r="AB64" s="16">
        <f t="shared" si="26"/>
        <v>8.6929031103195166E-8</v>
      </c>
      <c r="AC64" s="19"/>
      <c r="AD64">
        <f>2*PI()/'Enter data'!$E$11/LN($C$3/$C$2)</f>
        <v>5.1880404392247992E-18</v>
      </c>
      <c r="AE64" s="14">
        <f>8.686*AD64*'Enter data'!$C$46/2</f>
        <v>1.1298253133715425E-15</v>
      </c>
      <c r="AF64" s="16">
        <f t="shared" si="7"/>
        <v>3.4437494311495441E-16</v>
      </c>
      <c r="AH64" s="1">
        <f t="shared" si="28"/>
        <v>2.8752810450644525E-2</v>
      </c>
      <c r="AI64" s="16">
        <f t="shared" si="9"/>
        <v>8.7639631951489036E-3</v>
      </c>
      <c r="AK64" s="1">
        <f t="shared" si="10"/>
        <v>2.5642288260715059E-3</v>
      </c>
      <c r="AL64" s="1">
        <f t="shared" si="11"/>
        <v>1.700936901828384E-2</v>
      </c>
      <c r="AM64" s="1">
        <f t="shared" si="12"/>
        <v>1.9573597844355344E-2</v>
      </c>
      <c r="AN64" s="1">
        <f t="shared" si="13"/>
        <v>1.9573883041121717E-2</v>
      </c>
      <c r="AP64" s="1">
        <f t="shared" si="14"/>
        <v>3.7667093533141674E-3</v>
      </c>
      <c r="AQ64" s="1">
        <f t="shared" si="15"/>
        <v>2.4985815900563986E-2</v>
      </c>
      <c r="AR64" s="1">
        <f t="shared" si="16"/>
        <v>2.8752525253878152E-2</v>
      </c>
      <c r="AS64" s="1">
        <f t="shared" si="17"/>
        <v>2.8752810450644525E-2</v>
      </c>
      <c r="AU64" s="1">
        <f t="shared" si="18"/>
        <v>3.3861775408956037E-3</v>
      </c>
      <c r="AV64" s="1">
        <f t="shared" si="19"/>
        <v>3.1043876823814726E-2</v>
      </c>
      <c r="AW64" s="1">
        <f t="shared" si="20"/>
        <v>3.4430054364710333E-2</v>
      </c>
      <c r="AX64" s="1">
        <f t="shared" si="21"/>
        <v>3.443033956147671E-2</v>
      </c>
    </row>
    <row r="65" spans="4:50" x14ac:dyDescent="0.25">
      <c r="D65" s="1">
        <f>D64*'Enter data'!$C$77</f>
        <v>8608.4621327639052</v>
      </c>
      <c r="E65">
        <f t="shared" si="2"/>
        <v>8.6084621327639052E-6</v>
      </c>
      <c r="G65" s="1">
        <f t="shared" si="22"/>
        <v>7.0162542034655313E-4</v>
      </c>
      <c r="H65" s="1">
        <f t="shared" si="23"/>
        <v>7.0162542034655313E-4</v>
      </c>
      <c r="I65" s="1">
        <f t="shared" si="24"/>
        <v>3.8175245783895628E-7</v>
      </c>
      <c r="J65" s="1">
        <f t="shared" si="25"/>
        <v>5.7676122822257669E-8</v>
      </c>
      <c r="K65" s="1">
        <f>'Enter data'!$C$86/D65</f>
        <v>34825.321105727642</v>
      </c>
      <c r="L65" s="1"/>
      <c r="M65" s="24">
        <f>1+(2/PI())*ATAN(1.4*('Enter data'!C$32/G65)^2)</f>
        <v>1</v>
      </c>
      <c r="N65" s="24">
        <f>1+(2/PI())*ATAN(1.4*('Enter data'!D$32/H65)^2)</f>
        <v>1</v>
      </c>
      <c r="O65" s="1">
        <f t="shared" si="3"/>
        <v>4.382421031342152E-2</v>
      </c>
      <c r="P65" s="1">
        <f t="shared" si="4"/>
        <v>0.29006804170171724</v>
      </c>
      <c r="Q65" s="16">
        <f>8.686*O65/2/'Enter data'!C$46</f>
        <v>3.7956469477254226E-3</v>
      </c>
      <c r="R65" s="16">
        <f>8.686*P65/2/'Enter data'!C$46</f>
        <v>2.5123005508683967E-2</v>
      </c>
      <c r="S65" s="16">
        <f t="shared" si="5"/>
        <v>1.1569272579021648E-3</v>
      </c>
      <c r="T65" s="16">
        <f t="shared" si="6"/>
        <v>7.6575851952828469E-3</v>
      </c>
      <c r="U65">
        <f t="shared" si="27"/>
        <v>0.33389225201513878</v>
      </c>
      <c r="V65">
        <f>U65/(2*'Enter data'!$C$46)</f>
        <v>3.329340600553695E-3</v>
      </c>
      <c r="W65">
        <f t="shared" si="29"/>
        <v>2.8918252935537327E-2</v>
      </c>
      <c r="Y65" s="1"/>
      <c r="Z65" s="1">
        <f>4*PI()^2*D65*'Enter data'!$C$85*'Enter data'!$E$15*'Enter data'!$E$16/LN('Enter data'!$C$45)</f>
        <v>1.5653017619116917E-9</v>
      </c>
      <c r="AA65" s="16">
        <f>27.28753*'Enter data'!$E$15^0.5*'Enter data'!$E$16*D65/'Enter data'!$C$86</f>
        <v>3.4064341560765446E-7</v>
      </c>
      <c r="AB65" s="16">
        <f t="shared" si="26"/>
        <v>1.0382937564242088E-7</v>
      </c>
      <c r="AC65" s="19"/>
      <c r="AD65">
        <f>2*PI()/'Enter data'!$E$11/LN($C$3/$C$2)</f>
        <v>5.1880404392247992E-18</v>
      </c>
      <c r="AE65" s="14">
        <f>8.686*AD65*'Enter data'!$C$46/2</f>
        <v>1.1298253133715425E-15</v>
      </c>
      <c r="AF65" s="16">
        <f t="shared" si="7"/>
        <v>3.4437494311495441E-16</v>
      </c>
      <c r="AH65" s="1">
        <f t="shared" si="28"/>
        <v>2.8918993099826127E-2</v>
      </c>
      <c r="AI65" s="16">
        <f t="shared" si="9"/>
        <v>8.8146162825609997E-3</v>
      </c>
      <c r="AK65" s="1">
        <f t="shared" si="10"/>
        <v>2.5839284117805061E-3</v>
      </c>
      <c r="AL65" s="1">
        <f t="shared" si="11"/>
        <v>1.7102762353097205E-2</v>
      </c>
      <c r="AM65" s="1">
        <f t="shared" si="12"/>
        <v>1.968669076487771E-2</v>
      </c>
      <c r="AN65" s="1">
        <f t="shared" si="13"/>
        <v>1.9687031408294448E-2</v>
      </c>
      <c r="AP65" s="1">
        <f t="shared" si="14"/>
        <v>3.7956469477254226E-3</v>
      </c>
      <c r="AQ65" s="1">
        <f t="shared" si="15"/>
        <v>2.5123005508683967E-2</v>
      </c>
      <c r="AR65" s="1">
        <f t="shared" si="16"/>
        <v>2.8918652456409389E-2</v>
      </c>
      <c r="AS65" s="1">
        <f t="shared" si="17"/>
        <v>2.8918993099826127E-2</v>
      </c>
      <c r="AU65" s="1">
        <f t="shared" si="18"/>
        <v>3.4121917148314616E-3</v>
      </c>
      <c r="AV65" s="1">
        <f t="shared" si="19"/>
        <v>3.1214329424319478E-2</v>
      </c>
      <c r="AW65" s="1">
        <f t="shared" si="20"/>
        <v>3.4626521139150941E-2</v>
      </c>
      <c r="AX65" s="1">
        <f t="shared" si="21"/>
        <v>3.4626861782567679E-2</v>
      </c>
    </row>
    <row r="66" spans="4:50" x14ac:dyDescent="0.25">
      <c r="D66" s="1">
        <f>D65*'Enter data'!$C$77</f>
        <v>10282.079958135482</v>
      </c>
      <c r="E66">
        <f t="shared" si="2"/>
        <v>1.0282079958135483E-5</v>
      </c>
      <c r="G66" s="1">
        <f t="shared" si="22"/>
        <v>6.4198903975385693E-4</v>
      </c>
      <c r="H66" s="1">
        <f t="shared" si="23"/>
        <v>6.4198903975385693E-4</v>
      </c>
      <c r="I66" s="1">
        <f t="shared" si="24"/>
        <v>3.7858104515099254E-7</v>
      </c>
      <c r="J66" s="1">
        <f t="shared" si="25"/>
        <v>5.733301954956122E-8</v>
      </c>
      <c r="K66" s="1">
        <f>'Enter data'!$C$86/D66</f>
        <v>29156.791157103911</v>
      </c>
      <c r="L66" s="1"/>
      <c r="M66" s="24">
        <f>1+(2/PI())*ATAN(1.4*('Enter data'!C$32/G66)^2)</f>
        <v>1</v>
      </c>
      <c r="N66" s="24">
        <f>1+(2/PI())*ATAN(1.4*('Enter data'!D$32/H66)^2)</f>
        <v>1</v>
      </c>
      <c r="O66" s="1">
        <f t="shared" si="3"/>
        <v>4.4191330269394341E-2</v>
      </c>
      <c r="P66" s="1">
        <f t="shared" si="4"/>
        <v>0.29180392261631788</v>
      </c>
      <c r="Q66" s="16">
        <f>8.686*O66/2/'Enter data'!C$46</f>
        <v>3.8274434759542624E-3</v>
      </c>
      <c r="R66" s="16">
        <f>8.686*P66/2/'Enter data'!C$46</f>
        <v>2.5273351425883554E-2</v>
      </c>
      <c r="S66" s="16">
        <f t="shared" si="5"/>
        <v>1.1666189575573829E-3</v>
      </c>
      <c r="T66" s="16">
        <f t="shared" si="6"/>
        <v>7.7034111880893543E-3</v>
      </c>
      <c r="U66">
        <f t="shared" si="27"/>
        <v>0.33599525288571219</v>
      </c>
      <c r="V66">
        <f>U66/(2*'Enter data'!$C$46)</f>
        <v>3.3503102580978369E-3</v>
      </c>
      <c r="W66">
        <f t="shared" si="29"/>
        <v>2.9100392864606837E-2</v>
      </c>
      <c r="Y66" s="1"/>
      <c r="Z66" s="1">
        <f>4*PI()^2*D66*'Enter data'!$C$85*'Enter data'!$E$15*'Enter data'!$E$16/LN('Enter data'!$C$45)</f>
        <v>1.8696205694313607E-9</v>
      </c>
      <c r="AA66" s="16">
        <f>27.28753*'Enter data'!$E$15^0.5*'Enter data'!$E$16*D66/'Enter data'!$C$86</f>
        <v>4.0686975007529364E-7</v>
      </c>
      <c r="AB66" s="16">
        <f t="shared" si="26"/>
        <v>1.2401540785030896E-7</v>
      </c>
      <c r="AC66" s="19"/>
      <c r="AD66">
        <f>2*PI()/'Enter data'!$E$11/LN($C$3/$C$2)</f>
        <v>5.1880404392247992E-18</v>
      </c>
      <c r="AE66" s="14">
        <f>8.686*AD66*'Enter data'!$C$46/2</f>
        <v>1.1298253133715425E-15</v>
      </c>
      <c r="AF66" s="16">
        <f t="shared" si="7"/>
        <v>3.4437494311495441E-16</v>
      </c>
      <c r="AH66" s="1">
        <f t="shared" si="28"/>
        <v>2.9101201771589022E-2</v>
      </c>
      <c r="AI66" s="16">
        <f t="shared" si="9"/>
        <v>8.8701541610549314E-3</v>
      </c>
      <c r="AK66" s="1">
        <f t="shared" si="10"/>
        <v>2.6055742481340995E-3</v>
      </c>
      <c r="AL66" s="1">
        <f t="shared" si="11"/>
        <v>1.7205111990035913E-2</v>
      </c>
      <c r="AM66" s="1">
        <f t="shared" si="12"/>
        <v>1.9810686238170012E-2</v>
      </c>
      <c r="AN66" s="1">
        <f t="shared" si="13"/>
        <v>1.9811093107921219E-2</v>
      </c>
      <c r="AP66" s="1">
        <f t="shared" si="14"/>
        <v>3.8274434759542624E-3</v>
      </c>
      <c r="AQ66" s="1">
        <f t="shared" si="15"/>
        <v>2.5273351425883554E-2</v>
      </c>
      <c r="AR66" s="1">
        <f t="shared" si="16"/>
        <v>2.9100794901837816E-2</v>
      </c>
      <c r="AS66" s="1">
        <f t="shared" si="17"/>
        <v>2.9101201771589022E-2</v>
      </c>
      <c r="AU66" s="1">
        <f t="shared" si="18"/>
        <v>3.4407759987959831E-3</v>
      </c>
      <c r="AV66" s="1">
        <f t="shared" si="19"/>
        <v>3.1401128212603276E-2</v>
      </c>
      <c r="AW66" s="1">
        <f t="shared" si="20"/>
        <v>3.4841904211399259E-2</v>
      </c>
      <c r="AX66" s="1">
        <f t="shared" si="21"/>
        <v>3.4842311081150462E-2</v>
      </c>
    </row>
    <row r="67" spans="4:50" x14ac:dyDescent="0.25">
      <c r="D67" s="1">
        <f>D66*'Enter data'!$C$77</f>
        <v>12281.074904554136</v>
      </c>
      <c r="E67">
        <f t="shared" si="2"/>
        <v>1.2281074904554135E-5</v>
      </c>
      <c r="G67" s="1">
        <f t="shared" si="22"/>
        <v>5.8742160020443159E-4</v>
      </c>
      <c r="H67" s="1">
        <f t="shared" si="23"/>
        <v>5.8742160020443159E-4</v>
      </c>
      <c r="I67" s="1">
        <f t="shared" si="24"/>
        <v>3.7515492719261513E-7</v>
      </c>
      <c r="J67" s="1">
        <f t="shared" si="25"/>
        <v>5.6961584392846334E-8</v>
      </c>
      <c r="K67" s="1">
        <f>'Enter data'!$C$86/D67</f>
        <v>24410.929851818531</v>
      </c>
      <c r="L67" s="1"/>
      <c r="M67" s="24">
        <f>1+(2/PI())*ATAN(1.4*('Enter data'!C$32/G67)^2)</f>
        <v>1</v>
      </c>
      <c r="N67" s="24">
        <f>1+(2/PI())*ATAN(1.4*('Enter data'!D$32/H67)^2)</f>
        <v>1</v>
      </c>
      <c r="O67" s="1">
        <f t="shared" si="3"/>
        <v>4.4594909429005972E-2</v>
      </c>
      <c r="P67" s="1">
        <f t="shared" si="4"/>
        <v>0.29370671792797043</v>
      </c>
      <c r="Q67" s="16">
        <f>8.686*O67/2/'Enter data'!C$46</f>
        <v>3.8623977625093439E-3</v>
      </c>
      <c r="R67" s="16">
        <f>8.686*P67/2/'Enter data'!C$46</f>
        <v>2.5438153921243253E-2</v>
      </c>
      <c r="S67" s="16">
        <f t="shared" si="5"/>
        <v>1.1772731536543964E-3</v>
      </c>
      <c r="T67" s="16">
        <f t="shared" si="6"/>
        <v>7.753643599501113E-3</v>
      </c>
      <c r="U67">
        <f t="shared" si="27"/>
        <v>0.33830162735697639</v>
      </c>
      <c r="V67">
        <f>U67/(2*'Enter data'!$C$46)</f>
        <v>3.3733078153065387E-3</v>
      </c>
      <c r="W67">
        <f t="shared" si="29"/>
        <v>2.9300146886814756E-2</v>
      </c>
      <c r="Y67" s="1"/>
      <c r="Z67" s="1">
        <f>4*PI()^2*D67*'Enter data'!$C$85*'Enter data'!$E$15*'Enter data'!$E$16/LN('Enter data'!$C$45)</f>
        <v>2.2331036472940796E-9</v>
      </c>
      <c r="AA67" s="16">
        <f>27.28753*'Enter data'!$E$15^0.5*'Enter data'!$E$16*D67/'Enter data'!$C$86</f>
        <v>4.8597150551414345E-7</v>
      </c>
      <c r="AB67" s="16">
        <f t="shared" si="26"/>
        <v>1.4812591609185058E-7</v>
      </c>
      <c r="AC67" s="19"/>
      <c r="AD67">
        <f>2*PI()/'Enter data'!$E$11/LN($C$3/$C$2)</f>
        <v>5.1880404392247992E-18</v>
      </c>
      <c r="AE67" s="14">
        <f>8.686*AD67*'Enter data'!$C$46/2</f>
        <v>1.1298253133715425E-15</v>
      </c>
      <c r="AF67" s="16">
        <f t="shared" si="7"/>
        <v>3.4437494311495441E-16</v>
      </c>
      <c r="AH67" s="1">
        <f t="shared" si="28"/>
        <v>2.9301037655259241E-2</v>
      </c>
      <c r="AI67" s="16">
        <f t="shared" si="9"/>
        <v>8.9310648790719462E-3</v>
      </c>
      <c r="AK67" s="1">
        <f t="shared" si="10"/>
        <v>2.6293697632036235E-3</v>
      </c>
      <c r="AL67" s="1">
        <f t="shared" si="11"/>
        <v>1.7317303101579477E-2</v>
      </c>
      <c r="AM67" s="1">
        <f t="shared" si="12"/>
        <v>1.9946672864783101E-2</v>
      </c>
      <c r="AN67" s="1">
        <f t="shared" si="13"/>
        <v>1.9947158836289745E-2</v>
      </c>
      <c r="AP67" s="1">
        <f t="shared" si="14"/>
        <v>3.8623977625093439E-3</v>
      </c>
      <c r="AQ67" s="1">
        <f t="shared" si="15"/>
        <v>2.5438153921243253E-2</v>
      </c>
      <c r="AR67" s="1">
        <f t="shared" si="16"/>
        <v>2.9300551683752597E-2</v>
      </c>
      <c r="AS67" s="1">
        <f t="shared" si="17"/>
        <v>2.9301037655259241E-2</v>
      </c>
      <c r="AU67" s="1">
        <f t="shared" si="18"/>
        <v>3.4721990285518371E-3</v>
      </c>
      <c r="AV67" s="1">
        <f t="shared" si="19"/>
        <v>3.1605888720987893E-2</v>
      </c>
      <c r="AW67" s="1">
        <f t="shared" si="20"/>
        <v>3.507808774953973E-2</v>
      </c>
      <c r="AX67" s="1">
        <f t="shared" si="21"/>
        <v>3.5078573721046377E-2</v>
      </c>
    </row>
    <row r="68" spans="4:50" x14ac:dyDescent="0.25">
      <c r="D68" s="1">
        <f>D67*'Enter data'!$C$77</f>
        <v>14668.705303340146</v>
      </c>
      <c r="E68">
        <f t="shared" si="2"/>
        <v>1.4668705303340147E-5</v>
      </c>
      <c r="G68" s="1">
        <f t="shared" si="22"/>
        <v>5.3749225457031967E-4</v>
      </c>
      <c r="H68" s="1">
        <f t="shared" si="23"/>
        <v>5.3749225457031967E-4</v>
      </c>
      <c r="I68" s="1">
        <f t="shared" si="24"/>
        <v>3.714575559127025E-7</v>
      </c>
      <c r="J68" s="1">
        <f t="shared" si="25"/>
        <v>5.6559823332172154E-8</v>
      </c>
      <c r="K68" s="1">
        <f>'Enter data'!$C$86/D68</f>
        <v>20437.554085413085</v>
      </c>
      <c r="L68" s="1"/>
      <c r="M68" s="24">
        <f>1+(2/PI())*ATAN(1.4*('Enter data'!C$32/G68)^2)</f>
        <v>1</v>
      </c>
      <c r="N68" s="24">
        <f>1+(2/PI())*ATAN(1.4*('Enter data'!D$32/H68)^2)</f>
        <v>1</v>
      </c>
      <c r="O68" s="1">
        <f t="shared" si="3"/>
        <v>4.5038793083352367E-2</v>
      </c>
      <c r="P68" s="1">
        <f t="shared" si="4"/>
        <v>0.29579300313131818</v>
      </c>
      <c r="Q68" s="16">
        <f>8.686*O68/2/'Enter data'!C$46</f>
        <v>3.9008428508683947E-3</v>
      </c>
      <c r="R68" s="16">
        <f>8.686*P68/2/'Enter data'!C$46</f>
        <v>2.5618848610492372E-2</v>
      </c>
      <c r="S68" s="16">
        <f t="shared" si="5"/>
        <v>1.188991359079613E-3</v>
      </c>
      <c r="T68" s="16">
        <f t="shared" si="6"/>
        <v>7.8087200105134025E-3</v>
      </c>
      <c r="U68">
        <f t="shared" si="27"/>
        <v>0.34083179621467052</v>
      </c>
      <c r="V68">
        <f>U68/(2*'Enter data'!$C$46)</f>
        <v>3.3985368940088372E-3</v>
      </c>
      <c r="W68">
        <f t="shared" si="29"/>
        <v>2.9519283636933475E-2</v>
      </c>
      <c r="Y68" s="1"/>
      <c r="Z68" s="1">
        <f>4*PI()^2*D68*'Enter data'!$C$85*'Enter data'!$E$15*'Enter data'!$E$16/LN('Enter data'!$C$45)</f>
        <v>2.6672534422718854E-9</v>
      </c>
      <c r="AA68" s="16">
        <f>27.28753*'Enter data'!$E$15^0.5*'Enter data'!$E$16*D68/'Enter data'!$C$86</f>
        <v>5.8045186236622133E-7</v>
      </c>
      <c r="AB68" s="16">
        <f t="shared" si="26"/>
        <v>1.7692387904359341E-7</v>
      </c>
      <c r="AC68" s="19"/>
      <c r="AD68">
        <f>2*PI()/'Enter data'!$E$11/LN($C$3/$C$2)</f>
        <v>5.1880404392247992E-18</v>
      </c>
      <c r="AE68" s="14">
        <f>8.686*AD68*'Enter data'!$C$46/2</f>
        <v>1.1298253133715425E-15</v>
      </c>
      <c r="AF68" s="16">
        <f t="shared" si="7"/>
        <v>3.4437494311495441E-16</v>
      </c>
      <c r="AH68" s="1">
        <f t="shared" si="28"/>
        <v>2.9520271913224264E-2</v>
      </c>
      <c r="AI68" s="16">
        <f t="shared" si="9"/>
        <v>8.9978882934724034E-3</v>
      </c>
      <c r="AK68" s="1">
        <f t="shared" si="10"/>
        <v>2.6555416800000189E-3</v>
      </c>
      <c r="AL68" s="1">
        <f t="shared" si="11"/>
        <v>1.7440312998927395E-2</v>
      </c>
      <c r="AM68" s="1">
        <f t="shared" si="12"/>
        <v>2.0095854678927414E-2</v>
      </c>
      <c r="AN68" s="1">
        <f t="shared" si="13"/>
        <v>2.0096435130790912E-2</v>
      </c>
      <c r="AP68" s="1">
        <f t="shared" si="14"/>
        <v>3.9008428508683947E-3</v>
      </c>
      <c r="AQ68" s="1">
        <f t="shared" si="15"/>
        <v>2.5618848610492372E-2</v>
      </c>
      <c r="AR68" s="1">
        <f t="shared" si="16"/>
        <v>2.9519691461360766E-2</v>
      </c>
      <c r="AS68" s="1">
        <f t="shared" si="17"/>
        <v>2.9520271913224264E-2</v>
      </c>
      <c r="AU68" s="1">
        <f t="shared" si="18"/>
        <v>3.5067602018594149E-3</v>
      </c>
      <c r="AV68" s="1">
        <f t="shared" si="19"/>
        <v>3.183039464459235E-2</v>
      </c>
      <c r="AW68" s="1">
        <f t="shared" si="20"/>
        <v>3.5337154846451765E-2</v>
      </c>
      <c r="AX68" s="1">
        <f t="shared" si="21"/>
        <v>3.5337735298315263E-2</v>
      </c>
    </row>
    <row r="69" spans="4:50" x14ac:dyDescent="0.25">
      <c r="D69" s="1">
        <f>D68*'Enter data'!$C$77</f>
        <v>17520.527881191283</v>
      </c>
      <c r="E69">
        <f t="shared" si="2"/>
        <v>1.7520527881191282E-5</v>
      </c>
      <c r="G69" s="1">
        <f t="shared" si="22"/>
        <v>4.9180677663631105E-4</v>
      </c>
      <c r="H69" s="1">
        <f t="shared" si="23"/>
        <v>4.9180677663631105E-4</v>
      </c>
      <c r="I69" s="1">
        <f t="shared" si="24"/>
        <v>3.6747204474009181E-7</v>
      </c>
      <c r="J69" s="1">
        <f t="shared" si="25"/>
        <v>5.612566663691877E-8</v>
      </c>
      <c r="K69" s="1">
        <f>'Enter data'!$C$86/D69</f>
        <v>17110.926110955512</v>
      </c>
      <c r="L69" s="1"/>
      <c r="M69" s="24">
        <f>1+(2/PI())*ATAN(1.4*('Enter data'!C$32/G69)^2)</f>
        <v>1</v>
      </c>
      <c r="N69" s="24">
        <f>1+(2/PI())*ATAN(1.4*('Enter data'!D$32/H69)^2)</f>
        <v>1</v>
      </c>
      <c r="O69" s="1">
        <f t="shared" si="3"/>
        <v>4.5527272725828474E-2</v>
      </c>
      <c r="P69" s="1">
        <f t="shared" si="4"/>
        <v>0.29808109199357313</v>
      </c>
      <c r="Q69" s="16">
        <f>8.686*O69/2/'Enter data'!C$46</f>
        <v>3.9431504304170122E-3</v>
      </c>
      <c r="R69" s="16">
        <f>8.686*P69/2/'Enter data'!C$46</f>
        <v>2.5817021662420305E-2</v>
      </c>
      <c r="S69" s="16">
        <f t="shared" si="5"/>
        <v>1.2018868661353974E-3</v>
      </c>
      <c r="T69" s="16">
        <f t="shared" si="6"/>
        <v>7.869123891252227E-3</v>
      </c>
      <c r="U69">
        <f t="shared" si="27"/>
        <v>0.34360836471940159</v>
      </c>
      <c r="V69">
        <f>U69/(2*'Enter data'!$C$46)</f>
        <v>3.4262228980931749E-3</v>
      </c>
      <c r="W69">
        <f t="shared" si="29"/>
        <v>2.9759760946089543E-2</v>
      </c>
      <c r="Y69" s="1"/>
      <c r="Z69" s="1">
        <f>4*PI()^2*D69*'Enter data'!$C$85*'Enter data'!$E$15*'Enter data'!$E$16/LN('Enter data'!$C$45)</f>
        <v>3.1858086542161931E-9</v>
      </c>
      <c r="AA69" s="16">
        <f>27.28753*'Enter data'!$E$15^0.5*'Enter data'!$E$16*D69/'Enter data'!$C$86</f>
        <v>6.9330065796338959E-7</v>
      </c>
      <c r="AB69" s="16">
        <f t="shared" si="26"/>
        <v>2.1132061020586125E-7</v>
      </c>
      <c r="AC69" s="19"/>
      <c r="AD69">
        <f>2*PI()/'Enter data'!$E$11/LN($C$3/$C$2)</f>
        <v>5.1880404392247992E-18</v>
      </c>
      <c r="AE69" s="14">
        <f>8.686*AD69*'Enter data'!$C$46/2</f>
        <v>1.1298253133715425E-15</v>
      </c>
      <c r="AF69" s="16">
        <f t="shared" si="7"/>
        <v>3.4437494311495441E-16</v>
      </c>
      <c r="AH69" s="1">
        <f t="shared" si="28"/>
        <v>2.976086539349641E-2</v>
      </c>
      <c r="AI69" s="16">
        <f t="shared" si="9"/>
        <v>9.0712220779981742E-3</v>
      </c>
      <c r="AK69" s="1">
        <f t="shared" si="10"/>
        <v>2.6843430301611154E-3</v>
      </c>
      <c r="AL69" s="1">
        <f t="shared" si="11"/>
        <v>1.7575221483930908E-2</v>
      </c>
      <c r="AM69" s="1">
        <f t="shared" si="12"/>
        <v>2.0259564514092023E-2</v>
      </c>
      <c r="AN69" s="1">
        <f t="shared" si="13"/>
        <v>2.0260257814751118E-2</v>
      </c>
      <c r="AP69" s="1">
        <f t="shared" si="14"/>
        <v>3.9431504304170122E-3</v>
      </c>
      <c r="AQ69" s="1">
        <f t="shared" si="15"/>
        <v>2.5817021662420305E-2</v>
      </c>
      <c r="AR69" s="1">
        <f t="shared" si="16"/>
        <v>2.9760172092837316E-2</v>
      </c>
      <c r="AS69" s="1">
        <f t="shared" si="17"/>
        <v>2.976086539349641E-2</v>
      </c>
      <c r="AU69" s="1">
        <f t="shared" si="18"/>
        <v>3.5447936581841336E-3</v>
      </c>
      <c r="AV69" s="1">
        <f t="shared" si="19"/>
        <v>3.2076616734690727E-2</v>
      </c>
      <c r="AW69" s="1">
        <f t="shared" si="20"/>
        <v>3.5621410392874864E-2</v>
      </c>
      <c r="AX69" s="1">
        <f t="shared" si="21"/>
        <v>3.5622103693533962E-2</v>
      </c>
    </row>
    <row r="70" spans="4:50" x14ac:dyDescent="0.25">
      <c r="D70" s="1">
        <f>D69*'Enter data'!$C$77</f>
        <v>20926.788757948707</v>
      </c>
      <c r="E70">
        <f t="shared" si="2"/>
        <v>2.0926788757948708E-5</v>
      </c>
      <c r="G70" s="1">
        <f t="shared" si="22"/>
        <v>4.5000444841527323E-4</v>
      </c>
      <c r="H70" s="1">
        <f t="shared" si="23"/>
        <v>4.5000444841527323E-4</v>
      </c>
      <c r="I70" s="1">
        <f t="shared" si="24"/>
        <v>3.6318131908715018E-7</v>
      </c>
      <c r="J70" s="1">
        <f t="shared" si="25"/>
        <v>5.5656979073453251E-8</v>
      </c>
      <c r="K70" s="1">
        <f>'Enter data'!$C$86/D70</f>
        <v>14325.774559468835</v>
      </c>
      <c r="L70" s="1"/>
      <c r="M70" s="24">
        <f>1+(2/PI())*ATAN(1.4*('Enter data'!C$32/G70)^2)</f>
        <v>1</v>
      </c>
      <c r="N70" s="24">
        <f>1+(2/PI())*ATAN(1.4*('Enter data'!D$32/H70)^2)</f>
        <v>1</v>
      </c>
      <c r="O70" s="1">
        <f t="shared" si="3"/>
        <v>4.6065144655706852E-2</v>
      </c>
      <c r="P70" s="1">
        <f t="shared" si="4"/>
        <v>0.30059123363344242</v>
      </c>
      <c r="Q70" s="16">
        <f>8.686*O70/2/'Enter data'!C$46</f>
        <v>3.9897359121475245E-3</v>
      </c>
      <c r="R70" s="16">
        <f>8.686*P70/2/'Enter data'!C$46</f>
        <v>2.6034426868026726E-2</v>
      </c>
      <c r="S70" s="16">
        <f t="shared" si="5"/>
        <v>1.216086293631896E-3</v>
      </c>
      <c r="T70" s="16">
        <f t="shared" si="6"/>
        <v>7.9353898037145595E-3</v>
      </c>
      <c r="U70">
        <f t="shared" si="27"/>
        <v>0.3466563782891493</v>
      </c>
      <c r="V70">
        <f>U70/(2*'Enter data'!$C$46)</f>
        <v>3.4566155629949637E-3</v>
      </c>
      <c r="W70">
        <f t="shared" si="29"/>
        <v>3.0023747986306693E-2</v>
      </c>
      <c r="Y70" s="1"/>
      <c r="Z70" s="1">
        <f>4*PI()^2*D70*'Enter data'!$C$85*'Enter data'!$E$15*'Enter data'!$E$16/LN('Enter data'!$C$45)</f>
        <v>3.8051789981509436E-9</v>
      </c>
      <c r="AA70" s="16">
        <f>27.28753*'Enter data'!$E$15^0.5*'Enter data'!$E$16*D70/'Enter data'!$C$86</f>
        <v>8.2808900013349448E-7</v>
      </c>
      <c r="AB70" s="16">
        <f t="shared" si="26"/>
        <v>2.5240459648058231E-7</v>
      </c>
      <c r="AC70" s="19"/>
      <c r="AD70">
        <f>2*PI()/'Enter data'!$E$11/LN($C$3/$C$2)</f>
        <v>5.1880404392247992E-18</v>
      </c>
      <c r="AE70" s="14">
        <f>8.686*AD70*'Enter data'!$C$46/2</f>
        <v>1.1298253133715425E-15</v>
      </c>
      <c r="AF70" s="16">
        <f t="shared" si="7"/>
        <v>3.4437494311495441E-16</v>
      </c>
      <c r="AH70" s="1">
        <f t="shared" si="28"/>
        <v>3.0024990869175518E-2</v>
      </c>
      <c r="AI70" s="16">
        <f t="shared" si="9"/>
        <v>9.1517285019432817E-3</v>
      </c>
      <c r="AK70" s="1">
        <f t="shared" si="10"/>
        <v>2.7160566092894606E-3</v>
      </c>
      <c r="AL70" s="1">
        <f t="shared" si="11"/>
        <v>1.7723222469104741E-2</v>
      </c>
      <c r="AM70" s="1">
        <f t="shared" si="12"/>
        <v>2.0439279078394202E-2</v>
      </c>
      <c r="AN70" s="1">
        <f t="shared" si="13"/>
        <v>2.0440107167395468E-2</v>
      </c>
      <c r="AP70" s="1">
        <f t="shared" si="14"/>
        <v>3.9897359121475245E-3</v>
      </c>
      <c r="AQ70" s="1">
        <f t="shared" si="15"/>
        <v>2.6034426868026726E-2</v>
      </c>
      <c r="AR70" s="1">
        <f t="shared" si="16"/>
        <v>3.0024162780174252E-2</v>
      </c>
      <c r="AS70" s="1">
        <f t="shared" si="17"/>
        <v>3.0024990869175518E-2</v>
      </c>
      <c r="AU70" s="1">
        <f t="shared" si="18"/>
        <v>3.5866728416228209E-3</v>
      </c>
      <c r="AV70" s="1">
        <f t="shared" si="19"/>
        <v>3.2346734006448483E-2</v>
      </c>
      <c r="AW70" s="1">
        <f t="shared" si="20"/>
        <v>3.5933406848071302E-2</v>
      </c>
      <c r="AX70" s="1">
        <f t="shared" si="21"/>
        <v>3.5934234937072568E-2</v>
      </c>
    </row>
    <row r="71" spans="4:50" x14ac:dyDescent="0.25">
      <c r="D71" s="1">
        <f>D70*'Enter data'!$C$77</f>
        <v>24995.279291210027</v>
      </c>
      <c r="E71">
        <f t="shared" si="2"/>
        <v>2.4995279291210026E-5</v>
      </c>
      <c r="G71" s="1">
        <f t="shared" si="22"/>
        <v>4.1175521203378038E-4</v>
      </c>
      <c r="H71" s="1">
        <f t="shared" si="23"/>
        <v>4.1175521203378038E-4</v>
      </c>
      <c r="I71" s="1">
        <f t="shared" si="24"/>
        <v>3.5856830263001098E-7</v>
      </c>
      <c r="J71" s="1">
        <f t="shared" si="25"/>
        <v>5.5151573322758188E-8</v>
      </c>
      <c r="K71" s="1">
        <f>'Enter data'!$C$86/D71</f>
        <v>11993.963120285141</v>
      </c>
      <c r="L71" s="1"/>
      <c r="M71" s="24">
        <f>1+(2/PI())*ATAN(1.4*('Enter data'!C$32/G71)^2)</f>
        <v>1</v>
      </c>
      <c r="N71" s="24">
        <f>1+(2/PI())*ATAN(1.4*('Enter data'!D$32/H71)^2)</f>
        <v>1</v>
      </c>
      <c r="O71" s="1">
        <f t="shared" si="3"/>
        <v>4.6657777269461735E-2</v>
      </c>
      <c r="P71" s="1">
        <f t="shared" si="4"/>
        <v>0.30334583389113218</v>
      </c>
      <c r="Q71" s="16">
        <f>8.686*O71/2/'Enter data'!C$46</f>
        <v>4.0410642568098438E-3</v>
      </c>
      <c r="R71" s="16">
        <f>8.686*P71/2/'Enter data'!C$46</f>
        <v>2.6273004813539683E-2</v>
      </c>
      <c r="S71" s="16">
        <f t="shared" si="5"/>
        <v>1.2317313633290184E-3</v>
      </c>
      <c r="T71" s="16">
        <f t="shared" si="6"/>
        <v>8.0081092457753231E-3</v>
      </c>
      <c r="U71">
        <f t="shared" si="27"/>
        <v>0.35000361116059392</v>
      </c>
      <c r="V71">
        <f>U71/(2*'Enter data'!$C$46)</f>
        <v>3.4899918340259642E-3</v>
      </c>
      <c r="W71">
        <f t="shared" si="29"/>
        <v>3.0313650271329439E-2</v>
      </c>
      <c r="Y71" s="1"/>
      <c r="Z71" s="1">
        <f>4*PI()^2*D71*'Enter data'!$C$85*'Enter data'!$E$15*'Enter data'!$E$16/LN('Enter data'!$C$45)</f>
        <v>4.5449644908229404E-9</v>
      </c>
      <c r="AA71" s="16">
        <f>27.28753*'Enter data'!$E$15^0.5*'Enter data'!$E$16*D71/'Enter data'!$C$86</f>
        <v>9.8908227515096558E-7</v>
      </c>
      <c r="AB71" s="16">
        <f t="shared" si="26"/>
        <v>3.014759434134862E-7</v>
      </c>
      <c r="AC71" s="19"/>
      <c r="AD71">
        <f>2*PI()/'Enter data'!$E$11/LN($C$3/$C$2)</f>
        <v>5.1880404392247992E-18</v>
      </c>
      <c r="AE71" s="14">
        <f>8.686*AD71*'Enter data'!$C$46/2</f>
        <v>1.1298253133715425E-15</v>
      </c>
      <c r="AF71" s="16">
        <f t="shared" si="7"/>
        <v>3.4437494311495441E-16</v>
      </c>
      <c r="AH71" s="1">
        <f t="shared" si="28"/>
        <v>3.031505815262581E-2</v>
      </c>
      <c r="AI71" s="16">
        <f t="shared" si="9"/>
        <v>9.2401420850481003E-3</v>
      </c>
      <c r="AK71" s="1">
        <f t="shared" si="10"/>
        <v>2.7509989445301257E-3</v>
      </c>
      <c r="AL71" s="1">
        <f t="shared" si="11"/>
        <v>1.7885637029870085E-2</v>
      </c>
      <c r="AM71" s="1">
        <f t="shared" si="12"/>
        <v>2.063663597440021E-2</v>
      </c>
      <c r="AN71" s="1">
        <f t="shared" si="13"/>
        <v>2.0637625056676493E-2</v>
      </c>
      <c r="AP71" s="1">
        <f t="shared" si="14"/>
        <v>4.0410642568098438E-3</v>
      </c>
      <c r="AQ71" s="1">
        <f t="shared" si="15"/>
        <v>2.6273004813539683E-2</v>
      </c>
      <c r="AR71" s="1">
        <f t="shared" si="16"/>
        <v>3.0314069070349527E-2</v>
      </c>
      <c r="AS71" s="1">
        <f t="shared" si="17"/>
        <v>3.031505815262581E-2</v>
      </c>
      <c r="AU71" s="1">
        <f t="shared" si="18"/>
        <v>3.6328157402656294E-3</v>
      </c>
      <c r="AV71" s="1">
        <f t="shared" si="19"/>
        <v>3.2643157560630513E-2</v>
      </c>
      <c r="AW71" s="1">
        <f t="shared" si="20"/>
        <v>3.6275973300896144E-2</v>
      </c>
      <c r="AX71" s="1">
        <f t="shared" si="21"/>
        <v>3.6276962383172427E-2</v>
      </c>
    </row>
    <row r="72" spans="4:50" x14ac:dyDescent="0.25">
      <c r="D72" s="1">
        <f>D71*'Enter data'!$C$77</f>
        <v>29854.74714118697</v>
      </c>
      <c r="E72">
        <f t="shared" si="2"/>
        <v>2.9854747141186971E-5</v>
      </c>
      <c r="G72" s="1">
        <f t="shared" si="22"/>
        <v>3.7675706370023771E-4</v>
      </c>
      <c r="H72" s="1">
        <f t="shared" si="23"/>
        <v>3.7675706370023771E-4</v>
      </c>
      <c r="I72" s="1">
        <f t="shared" si="24"/>
        <v>3.5361614356058212E-7</v>
      </c>
      <c r="J72" s="1">
        <f t="shared" si="25"/>
        <v>5.4607227070094044E-8</v>
      </c>
      <c r="K72" s="1">
        <f>'Enter data'!$C$86/D72</f>
        <v>10041.701461487603</v>
      </c>
      <c r="L72" s="1"/>
      <c r="M72" s="24">
        <f>1+(2/PI())*ATAN(1.4*('Enter data'!C$32/G72)^2)</f>
        <v>1</v>
      </c>
      <c r="N72" s="24">
        <f>1+(2/PI())*ATAN(1.4*('Enter data'!D$32/H72)^2)</f>
        <v>1</v>
      </c>
      <c r="O72" s="1">
        <f t="shared" si="3"/>
        <v>4.7311188430326258E-2</v>
      </c>
      <c r="P72" s="1">
        <f t="shared" si="4"/>
        <v>0.30636970411490239</v>
      </c>
      <c r="Q72" s="16">
        <f>8.686*O72/2/'Enter data'!C$46</f>
        <v>4.0976566759454739E-3</v>
      </c>
      <c r="R72" s="16">
        <f>8.686*P72/2/'Enter data'!C$46</f>
        <v>2.6534904428001327E-2</v>
      </c>
      <c r="S72" s="16">
        <f t="shared" si="5"/>
        <v>1.2489809424364403E-3</v>
      </c>
      <c r="T72" s="16">
        <f t="shared" si="6"/>
        <v>8.0879372189713861E-3</v>
      </c>
      <c r="U72">
        <f t="shared" si="27"/>
        <v>0.35368089254522866</v>
      </c>
      <c r="V72">
        <f>U72/(2*'Enter data'!$C$46)</f>
        <v>3.5266591185755011E-3</v>
      </c>
      <c r="W72">
        <f t="shared" si="29"/>
        <v>3.0632137904852572E-2</v>
      </c>
      <c r="Y72" s="1"/>
      <c r="Z72" s="1">
        <f>4*PI()^2*D72*'Enter data'!$C$85*'Enter data'!$E$15*'Enter data'!$E$16/LN('Enter data'!$C$45)</f>
        <v>5.428575694567635E-9</v>
      </c>
      <c r="AA72" s="16">
        <f>27.28753*'Enter data'!$E$15^0.5*'Enter data'!$E$16*D72/'Enter data'!$C$86</f>
        <v>1.1813751261761755E-6</v>
      </c>
      <c r="AB72" s="16">
        <f t="shared" si="26"/>
        <v>3.6008751712270647E-7</v>
      </c>
      <c r="AC72" s="19"/>
      <c r="AD72">
        <f>2*PI()/'Enter data'!$E$11/LN($C$3/$C$2)</f>
        <v>5.1880404392247992E-18</v>
      </c>
      <c r="AE72" s="14">
        <f>8.686*AD72*'Enter data'!$C$46/2</f>
        <v>1.1298253133715425E-15</v>
      </c>
      <c r="AF72" s="16">
        <f t="shared" si="7"/>
        <v>3.4437494311495441E-16</v>
      </c>
      <c r="AH72" s="1">
        <f t="shared" si="28"/>
        <v>3.0633742479074109E-2</v>
      </c>
      <c r="AI72" s="16">
        <f t="shared" si="9"/>
        <v>9.3372782489252945E-3</v>
      </c>
      <c r="AK72" s="1">
        <f t="shared" si="10"/>
        <v>2.7895248563733167E-3</v>
      </c>
      <c r="AL72" s="1">
        <f t="shared" si="11"/>
        <v>1.8063928073310611E-2</v>
      </c>
      <c r="AM72" s="1">
        <f t="shared" si="12"/>
        <v>2.0853452929683929E-2</v>
      </c>
      <c r="AN72" s="1">
        <f t="shared" si="13"/>
        <v>2.0854634304811236E-2</v>
      </c>
      <c r="AP72" s="1">
        <f t="shared" si="14"/>
        <v>4.0976566759454739E-3</v>
      </c>
      <c r="AQ72" s="1">
        <f t="shared" si="15"/>
        <v>2.6534904428001327E-2</v>
      </c>
      <c r="AR72" s="1">
        <f t="shared" si="16"/>
        <v>3.0632561103946802E-2</v>
      </c>
      <c r="AS72" s="1">
        <f t="shared" si="17"/>
        <v>3.0633742479074109E-2</v>
      </c>
      <c r="AU72" s="1">
        <f t="shared" si="18"/>
        <v>3.6836909102580823E-3</v>
      </c>
      <c r="AV72" s="1">
        <f t="shared" si="19"/>
        <v>3.2968557355614526E-2</v>
      </c>
      <c r="AW72" s="1">
        <f t="shared" si="20"/>
        <v>3.6652248265872607E-2</v>
      </c>
      <c r="AX72" s="1">
        <f t="shared" si="21"/>
        <v>3.6653429640999914E-2</v>
      </c>
    </row>
    <row r="73" spans="4:50" x14ac:dyDescent="0.25">
      <c r="D73" s="1">
        <f>D72*'Enter data'!$C$77</f>
        <v>35658.970499187541</v>
      </c>
      <c r="E73">
        <f t="shared" si="2"/>
        <v>3.5658970499187541E-5</v>
      </c>
      <c r="G73" s="1">
        <f t="shared" si="22"/>
        <v>3.4473366917910379E-4</v>
      </c>
      <c r="H73" s="1">
        <f t="shared" si="23"/>
        <v>3.4473366917910379E-4</v>
      </c>
      <c r="I73" s="1">
        <f t="shared" si="24"/>
        <v>3.4830848482706561E-7</v>
      </c>
      <c r="J73" s="1">
        <f t="shared" si="25"/>
        <v>5.4021704240714062E-8</v>
      </c>
      <c r="K73" s="1">
        <f>'Enter data'!$C$86/D73</f>
        <v>8407.2101298277958</v>
      </c>
      <c r="L73" s="1"/>
      <c r="M73" s="24">
        <f>1+(2/PI())*ATAN(1.4*('Enter data'!C$32/G73)^2)</f>
        <v>1</v>
      </c>
      <c r="N73" s="24">
        <f>1+(2/PI())*ATAN(1.4*('Enter data'!D$32/H73)^2)</f>
        <v>1</v>
      </c>
      <c r="O73" s="1">
        <f t="shared" si="3"/>
        <v>4.8032134526686622E-2</v>
      </c>
      <c r="P73" s="1">
        <f t="shared" si="4"/>
        <v>0.30969034085731878</v>
      </c>
      <c r="Q73" s="16">
        <f>8.686*O73/2/'Enter data'!C$46</f>
        <v>4.1600983453002486E-3</v>
      </c>
      <c r="R73" s="16">
        <f>8.686*P73/2/'Enter data'!C$46</f>
        <v>2.6822507207965113E-2</v>
      </c>
      <c r="S73" s="16">
        <f t="shared" si="5"/>
        <v>1.2680133946903951E-3</v>
      </c>
      <c r="T73" s="16">
        <f t="shared" si="6"/>
        <v>8.1755996122790508E-3</v>
      </c>
      <c r="U73">
        <f t="shared" si="27"/>
        <v>0.35772247538400542</v>
      </c>
      <c r="V73">
        <f>U73/(2*'Enter data'!$C$46)</f>
        <v>3.5669589630745297E-3</v>
      </c>
      <c r="W73">
        <f t="shared" si="29"/>
        <v>3.0982177518189793E-2</v>
      </c>
      <c r="Y73" s="1"/>
      <c r="Z73" s="1">
        <f>4*PI()^2*D73*'Enter data'!$C$85*'Enter data'!$E$15*'Enter data'!$E$16/LN('Enter data'!$C$45)</f>
        <v>6.4839745461497668E-9</v>
      </c>
      <c r="AA73" s="16">
        <f>27.28753*'Enter data'!$E$15^0.5*'Enter data'!$E$16*D73/'Enter data'!$C$86</f>
        <v>1.4110526735854752E-6</v>
      </c>
      <c r="AB73" s="16">
        <f t="shared" si="26"/>
        <v>4.3009408485292464E-7</v>
      </c>
      <c r="AC73" s="19"/>
      <c r="AD73">
        <f>2*PI()/'Enter data'!$E$11/LN($C$3/$C$2)</f>
        <v>5.1880404392247992E-18</v>
      </c>
      <c r="AE73" s="14">
        <f>8.686*AD73*'Enter data'!$C$46/2</f>
        <v>1.1298253133715425E-15</v>
      </c>
      <c r="AF73" s="16">
        <f t="shared" si="7"/>
        <v>3.4437494311495441E-16</v>
      </c>
      <c r="AH73" s="1">
        <f t="shared" si="28"/>
        <v>3.0984016605940076E-2</v>
      </c>
      <c r="AI73" s="16">
        <f t="shared" si="9"/>
        <v>9.444043101054643E-3</v>
      </c>
      <c r="AK73" s="1">
        <f t="shared" si="10"/>
        <v>2.8320327096449422E-3</v>
      </c>
      <c r="AL73" s="1">
        <f t="shared" si="11"/>
        <v>1.8259716829401536E-2</v>
      </c>
      <c r="AM73" s="1">
        <f t="shared" si="12"/>
        <v>2.1091749539046478E-2</v>
      </c>
      <c r="AN73" s="1">
        <f t="shared" si="13"/>
        <v>2.1093160591721193E-2</v>
      </c>
      <c r="AP73" s="1">
        <f t="shared" si="14"/>
        <v>4.1600983453002486E-3</v>
      </c>
      <c r="AQ73" s="1">
        <f t="shared" si="15"/>
        <v>2.6822507207965113E-2</v>
      </c>
      <c r="AR73" s="1">
        <f t="shared" si="16"/>
        <v>3.098260555326536E-2</v>
      </c>
      <c r="AS73" s="1">
        <f t="shared" si="17"/>
        <v>3.0984016605940076E-2</v>
      </c>
      <c r="AU73" s="1">
        <f t="shared" si="18"/>
        <v>3.7398244099662906E-3</v>
      </c>
      <c r="AV73" s="1">
        <f t="shared" si="19"/>
        <v>3.3325892305608333E-2</v>
      </c>
      <c r="AW73" s="1">
        <f t="shared" si="20"/>
        <v>3.7065716715574626E-2</v>
      </c>
      <c r="AX73" s="1">
        <f t="shared" si="21"/>
        <v>3.7067127768249344E-2</v>
      </c>
    </row>
    <row r="74" spans="4:50" x14ac:dyDescent="0.25">
      <c r="D74" s="1">
        <f>D73*'Enter data'!$C$77</f>
        <v>42591.624408960655</v>
      </c>
      <c r="E74">
        <f t="shared" si="2"/>
        <v>4.2591624408960652E-5</v>
      </c>
      <c r="G74" s="1">
        <f t="shared" si="22"/>
        <v>3.1543218194375367E-4</v>
      </c>
      <c r="H74" s="1">
        <f t="shared" si="23"/>
        <v>3.1543218194375367E-4</v>
      </c>
      <c r="I74" s="1">
        <f t="shared" si="24"/>
        <v>3.4262978195146686E-7</v>
      </c>
      <c r="J74" s="1">
        <f t="shared" si="25"/>
        <v>5.3392780851126125E-8</v>
      </c>
      <c r="K74" s="1">
        <f>'Enter data'!$C$86/D74</f>
        <v>7038.7655357171125</v>
      </c>
      <c r="L74" s="1"/>
      <c r="M74" s="24">
        <f>1+(2/PI())*ATAN(1.4*('Enter data'!C$32/G74)^2)</f>
        <v>1</v>
      </c>
      <c r="N74" s="24">
        <f>1+(2/PI())*ATAN(1.4*('Enter data'!D$32/H74)^2)</f>
        <v>1</v>
      </c>
      <c r="O74" s="1">
        <f t="shared" si="3"/>
        <v>4.8828213078014882E-2</v>
      </c>
      <c r="P74" s="1">
        <f t="shared" si="4"/>
        <v>0.3133382403633907</v>
      </c>
      <c r="Q74" s="16">
        <f>8.686*O74/2/'Enter data'!C$46</f>
        <v>4.2290472915993077E-3</v>
      </c>
      <c r="R74" s="16">
        <f>8.686*P74/2/'Enter data'!C$46</f>
        <v>2.7138454455543706E-2</v>
      </c>
      <c r="S74" s="16">
        <f t="shared" si="5"/>
        <v>1.289029289075624E-3</v>
      </c>
      <c r="T74" s="16">
        <f t="shared" si="6"/>
        <v>8.2719015043720145E-3</v>
      </c>
      <c r="U74">
        <f t="shared" si="27"/>
        <v>0.36216645344140558</v>
      </c>
      <c r="V74">
        <f>U74/(2*'Enter data'!$C$46)</f>
        <v>3.6112712119667299E-3</v>
      </c>
      <c r="W74">
        <f t="shared" si="29"/>
        <v>3.1367068394597575E-2</v>
      </c>
      <c r="Y74" s="1"/>
      <c r="Z74" s="1">
        <f>4*PI()^2*D74*'Enter data'!$C$85*'Enter data'!$E$15*'Enter data'!$E$16/LN('Enter data'!$C$45)</f>
        <v>7.744559214158021E-9</v>
      </c>
      <c r="AA74" s="16">
        <f>27.28753*'Enter data'!$E$15^0.5*'Enter data'!$E$16*D74/'Enter data'!$C$86</f>
        <v>1.6853830790202319E-6</v>
      </c>
      <c r="AB74" s="16">
        <f t="shared" si="26"/>
        <v>5.1371100921123865E-7</v>
      </c>
      <c r="AC74" s="19"/>
      <c r="AD74">
        <f>2*PI()/'Enter data'!$E$11/LN($C$3/$C$2)</f>
        <v>5.1880404392247992E-18</v>
      </c>
      <c r="AE74" s="14">
        <f>8.686*AD74*'Enter data'!$C$46/2</f>
        <v>1.1298253133715425E-15</v>
      </c>
      <c r="AF74" s="16">
        <f t="shared" si="7"/>
        <v>3.4437494311495441E-16</v>
      </c>
      <c r="AH74" s="1">
        <f t="shared" si="28"/>
        <v>3.1369187130223165E-2</v>
      </c>
      <c r="AI74" s="16">
        <f t="shared" si="9"/>
        <v>9.5614445044571953E-3</v>
      </c>
      <c r="AK74" s="1">
        <f t="shared" si="10"/>
        <v>2.8789704632764361E-3</v>
      </c>
      <c r="AL74" s="1">
        <f t="shared" si="11"/>
        <v>1.8474801393610386E-2</v>
      </c>
      <c r="AM74" s="1">
        <f t="shared" si="12"/>
        <v>2.1353771856886822E-2</v>
      </c>
      <c r="AN74" s="1">
        <f t="shared" si="13"/>
        <v>2.1355457239966975E-2</v>
      </c>
      <c r="AP74" s="1">
        <f t="shared" si="14"/>
        <v>4.2290472915993077E-3</v>
      </c>
      <c r="AQ74" s="1">
        <f t="shared" si="15"/>
        <v>2.7138454455543706E-2</v>
      </c>
      <c r="AR74" s="1">
        <f t="shared" si="16"/>
        <v>3.1367501747143013E-2</v>
      </c>
      <c r="AS74" s="1">
        <f t="shared" si="17"/>
        <v>3.1369187130223165E-2</v>
      </c>
      <c r="AU74" s="1">
        <f t="shared" si="18"/>
        <v>3.8018077889654875E-3</v>
      </c>
      <c r="AV74" s="1">
        <f t="shared" si="19"/>
        <v>3.3718444122834833E-2</v>
      </c>
      <c r="AW74" s="1">
        <f t="shared" si="20"/>
        <v>3.752025191180032E-2</v>
      </c>
      <c r="AX74" s="1">
        <f t="shared" si="21"/>
        <v>3.7521937294880472E-2</v>
      </c>
    </row>
    <row r="75" spans="4:50" x14ac:dyDescent="0.25">
      <c r="D75" s="1">
        <f>D74*'Enter data'!$C$77</f>
        <v>50872.093175973903</v>
      </c>
      <c r="E75">
        <f t="shared" si="2"/>
        <v>5.0872093175973905E-5</v>
      </c>
      <c r="G75" s="1">
        <f t="shared" si="22"/>
        <v>2.8862124678081315E-4</v>
      </c>
      <c r="H75" s="1">
        <f t="shared" si="23"/>
        <v>2.8862124678081315E-4</v>
      </c>
      <c r="I75" s="1">
        <f t="shared" si="24"/>
        <v>3.3656567126155088E-7</v>
      </c>
      <c r="J75" s="1">
        <f t="shared" si="25"/>
        <v>5.2718275918460113E-8</v>
      </c>
      <c r="K75" s="1">
        <f>'Enter data'!$C$86/D75</f>
        <v>5893.0631567090168</v>
      </c>
      <c r="L75" s="1"/>
      <c r="M75" s="24">
        <f>1+(2/PI())*ATAN(1.4*('Enter data'!C$32/G75)^2)</f>
        <v>1</v>
      </c>
      <c r="N75" s="24">
        <f>1+(2/PI())*ATAN(1.4*('Enter data'!D$32/H75)^2)</f>
        <v>1</v>
      </c>
      <c r="O75" s="1">
        <f t="shared" si="3"/>
        <v>4.9707981022814519E-2</v>
      </c>
      <c r="P75" s="1">
        <f t="shared" si="4"/>
        <v>0.31734725213465748</v>
      </c>
      <c r="Q75" s="16">
        <f>8.686*O75/2/'Enter data'!C$46</f>
        <v>4.3052446375526875E-3</v>
      </c>
      <c r="R75" s="16">
        <f>8.686*P75/2/'Enter data'!C$46</f>
        <v>2.748567790085343E-2</v>
      </c>
      <c r="S75" s="16">
        <f t="shared" si="5"/>
        <v>1.3122545225410531E-3</v>
      </c>
      <c r="T75" s="16">
        <f t="shared" si="6"/>
        <v>8.3777364974559343E-3</v>
      </c>
      <c r="U75">
        <f t="shared" si="27"/>
        <v>0.36705523315747202</v>
      </c>
      <c r="V75">
        <f>U75/(2*'Enter data'!$C$46)</f>
        <v>3.6600187126877869E-3</v>
      </c>
      <c r="W75">
        <f t="shared" si="29"/>
        <v>3.1790483336160594E-2</v>
      </c>
      <c r="Y75" s="1"/>
      <c r="Z75" s="1">
        <f>4*PI()^2*D75*'Enter data'!$C$85*'Enter data'!$E$15*'Enter data'!$E$16/LN('Enter data'!$C$45)</f>
        <v>9.2502209863262705E-9</v>
      </c>
      <c r="AA75" s="16">
        <f>27.28753*'Enter data'!$E$15^0.5*'Enter data'!$E$16*D75/'Enter data'!$C$86</f>
        <v>2.0130475468573303E-6</v>
      </c>
      <c r="AB75" s="16">
        <f t="shared" si="26"/>
        <v>6.1358435346785244E-7</v>
      </c>
      <c r="AC75" s="19"/>
      <c r="AD75">
        <f>2*PI()/'Enter data'!$E$11/LN($C$3/$C$2)</f>
        <v>5.1880404392247992E-18</v>
      </c>
      <c r="AE75" s="14">
        <f>8.686*AD75*'Enter data'!$C$46/2</f>
        <v>1.1298253133715425E-15</v>
      </c>
      <c r="AF75" s="16">
        <f t="shared" si="7"/>
        <v>3.4437494311495441E-16</v>
      </c>
      <c r="AH75" s="1">
        <f t="shared" si="28"/>
        <v>3.1792935585954106E-2</v>
      </c>
      <c r="AI75" s="16">
        <f t="shared" si="9"/>
        <v>9.6906046043508005E-3</v>
      </c>
      <c r="AK75" s="1">
        <f t="shared" si="10"/>
        <v>2.930842644705005E-3</v>
      </c>
      <c r="AL75" s="1">
        <f t="shared" si="11"/>
        <v>1.871117757346288E-2</v>
      </c>
      <c r="AM75" s="1">
        <f t="shared" si="12"/>
        <v>2.1642020218167884E-2</v>
      </c>
      <c r="AN75" s="1">
        <f t="shared" si="13"/>
        <v>2.1644033265715873E-2</v>
      </c>
      <c r="AP75" s="1">
        <f t="shared" si="14"/>
        <v>4.3052446375526875E-3</v>
      </c>
      <c r="AQ75" s="1">
        <f t="shared" si="15"/>
        <v>2.748567790085343E-2</v>
      </c>
      <c r="AR75" s="1">
        <f t="shared" si="16"/>
        <v>3.1790922538406118E-2</v>
      </c>
      <c r="AS75" s="1">
        <f t="shared" si="17"/>
        <v>3.1792935585954106E-2</v>
      </c>
      <c r="AU75" s="1">
        <f t="shared" si="18"/>
        <v>3.8703072980439271E-3</v>
      </c>
      <c r="AV75" s="1">
        <f t="shared" si="19"/>
        <v>3.4149855364694351E-2</v>
      </c>
      <c r="AW75" s="1">
        <f t="shared" si="20"/>
        <v>3.8020162662738277E-2</v>
      </c>
      <c r="AX75" s="1">
        <f t="shared" si="21"/>
        <v>3.8022175710286266E-2</v>
      </c>
    </row>
    <row r="76" spans="4:50" x14ac:dyDescent="0.25">
      <c r="D76" s="1">
        <f>D75*'Enter data'!$C$77</f>
        <v>60762.412798712117</v>
      </c>
      <c r="E76">
        <f t="shared" si="2"/>
        <v>6.0762412798712115E-5</v>
      </c>
      <c r="G76" s="1">
        <f t="shared" si="22"/>
        <v>2.640891730830594E-4</v>
      </c>
      <c r="H76" s="1">
        <f t="shared" si="23"/>
        <v>2.640891730830594E-4</v>
      </c>
      <c r="I76" s="1">
        <f t="shared" si="24"/>
        <v>3.3010339021951556E-7</v>
      </c>
      <c r="J76" s="1">
        <f t="shared" si="25"/>
        <v>5.1996087814218576E-8</v>
      </c>
      <c r="K76" s="1">
        <f>'Enter data'!$C$86/D76</f>
        <v>4933.8471629348169</v>
      </c>
      <c r="L76" s="1"/>
      <c r="M76" s="24">
        <f>1+(2/PI())*ATAN(1.4*('Enter data'!C$32/G76)^2)</f>
        <v>1</v>
      </c>
      <c r="N76" s="24">
        <f>1+(2/PI())*ATAN(1.4*('Enter data'!D$32/H76)^2)</f>
        <v>1</v>
      </c>
      <c r="O76" s="1">
        <f t="shared" si="3"/>
        <v>5.0681091123828549E-2</v>
      </c>
      <c r="P76" s="1">
        <f t="shared" si="4"/>
        <v>0.32175497625467708</v>
      </c>
      <c r="Q76" s="16">
        <f>8.686*O76/2/'Enter data'!C$46</f>
        <v>4.3895264160102787E-3</v>
      </c>
      <c r="R76" s="16">
        <f>8.686*P76/2/'Enter data'!C$46</f>
        <v>2.7867434114665784E-2</v>
      </c>
      <c r="S76" s="16">
        <f t="shared" si="5"/>
        <v>1.3379439209980123E-3</v>
      </c>
      <c r="T76" s="16">
        <f t="shared" si="6"/>
        <v>8.4940972063721597E-3</v>
      </c>
      <c r="U76">
        <f t="shared" si="27"/>
        <v>0.37243606737850565</v>
      </c>
      <c r="V76">
        <f>U76/(2*'Enter data'!$C$46)</f>
        <v>3.713672637655545E-3</v>
      </c>
      <c r="W76">
        <f t="shared" si="29"/>
        <v>3.2256514889959544E-2</v>
      </c>
      <c r="Y76" s="1"/>
      <c r="Z76" s="1">
        <f>4*PI()^2*D76*'Enter data'!$C$85*'Enter data'!$E$15*'Enter data'!$E$16/LN('Enter data'!$C$45)</f>
        <v>1.1048606632052674E-8</v>
      </c>
      <c r="AA76" s="16">
        <f>27.28753*'Enter data'!$E$15^0.5*'Enter data'!$E$16*D76/'Enter data'!$C$86</f>
        <v>2.4044150415133414E-6</v>
      </c>
      <c r="AB76" s="16">
        <f t="shared" si="26"/>
        <v>7.3287461640860196E-7</v>
      </c>
      <c r="AC76" s="19"/>
      <c r="AD76">
        <f>2*PI()/'Enter data'!$E$11/LN($C$3/$C$2)</f>
        <v>5.1880404392247992E-18</v>
      </c>
      <c r="AE76" s="14">
        <f>8.686*AD76*'Enter data'!$C$46/2</f>
        <v>1.1298253133715425E-15</v>
      </c>
      <c r="AF76" s="16">
        <f t="shared" si="7"/>
        <v>3.4437494311495441E-16</v>
      </c>
      <c r="AH76" s="1">
        <f t="shared" si="28"/>
        <v>3.2259364945718703E-2</v>
      </c>
      <c r="AI76" s="16">
        <f t="shared" si="9"/>
        <v>9.8327740019869252E-3</v>
      </c>
      <c r="AK76" s="1">
        <f t="shared" si="10"/>
        <v>2.9882183924895729E-3</v>
      </c>
      <c r="AL76" s="1">
        <f t="shared" si="11"/>
        <v>1.8971062315333992E-2</v>
      </c>
      <c r="AM76" s="1">
        <f t="shared" si="12"/>
        <v>2.1959280707823565E-2</v>
      </c>
      <c r="AN76" s="1">
        <f t="shared" si="13"/>
        <v>2.1961685122866208E-2</v>
      </c>
      <c r="AP76" s="1">
        <f t="shared" si="14"/>
        <v>4.3895264160102787E-3</v>
      </c>
      <c r="AQ76" s="1">
        <f t="shared" si="15"/>
        <v>2.7867434114665784E-2</v>
      </c>
      <c r="AR76" s="1">
        <f t="shared" si="16"/>
        <v>3.225696053067606E-2</v>
      </c>
      <c r="AS76" s="1">
        <f t="shared" si="17"/>
        <v>3.2259364945718703E-2</v>
      </c>
      <c r="AU76" s="1">
        <f t="shared" si="18"/>
        <v>3.9460745098328399E-3</v>
      </c>
      <c r="AV76" s="1">
        <f t="shared" si="19"/>
        <v>3.4624172190107647E-2</v>
      </c>
      <c r="AW76" s="1">
        <f t="shared" si="20"/>
        <v>3.8570246699940483E-2</v>
      </c>
      <c r="AX76" s="1">
        <f t="shared" si="21"/>
        <v>3.8572651114983127E-2</v>
      </c>
    </row>
    <row r="77" spans="4:50" x14ac:dyDescent="0.25">
      <c r="D77" s="1">
        <f>D76*'Enter data'!$C$77</f>
        <v>72575.563115708428</v>
      </c>
      <c r="E77">
        <f t="shared" si="2"/>
        <v>7.257556311570843E-5</v>
      </c>
      <c r="G77" s="1">
        <f t="shared" si="22"/>
        <v>2.4164226340779032E-4</v>
      </c>
      <c r="H77" s="1">
        <f t="shared" si="23"/>
        <v>2.4164226340779032E-4</v>
      </c>
      <c r="I77" s="1">
        <f t="shared" si="24"/>
        <v>3.2323224988371527E-7</v>
      </c>
      <c r="J77" s="1">
        <f t="shared" si="25"/>
        <v>5.122423635527425E-8</v>
      </c>
      <c r="K77" s="1">
        <f>'Enter data'!$C$86/D77</f>
        <v>4130.7630988964684</v>
      </c>
      <c r="L77" s="1"/>
      <c r="M77" s="24">
        <f>1+(2/PI())*ATAN(1.4*('Enter data'!C$32/G77)^2)</f>
        <v>1</v>
      </c>
      <c r="N77" s="24">
        <f>1+(2/PI())*ATAN(1.4*('Enter data'!D$32/H77)^2)</f>
        <v>1</v>
      </c>
      <c r="O77" s="1">
        <f t="shared" si="3"/>
        <v>5.175844924514407E-2</v>
      </c>
      <c r="P77" s="1">
        <f t="shared" si="4"/>
        <v>0.32660320954257455</v>
      </c>
      <c r="Q77" s="16">
        <f>8.686*O77/2/'Enter data'!C$46</f>
        <v>4.482837191847033E-3</v>
      </c>
      <c r="R77" s="16">
        <f>8.686*P77/2/'Enter data'!C$46</f>
        <v>2.8287343150093014E-2</v>
      </c>
      <c r="S77" s="16">
        <f t="shared" si="5"/>
        <v>1.366385391321334E-3</v>
      </c>
      <c r="T77" s="16">
        <f t="shared" si="6"/>
        <v>8.6220870367267177E-3</v>
      </c>
      <c r="U77">
        <f t="shared" ref="U77:U108" si="30">O77+P77</f>
        <v>0.3783616587877186</v>
      </c>
      <c r="V77">
        <f>U77/(2*'Enter data'!$C$46)</f>
        <v>3.7727585012595028E-3</v>
      </c>
      <c r="W77">
        <f t="shared" si="29"/>
        <v>3.276972761091989E-2</v>
      </c>
      <c r="Y77" s="1"/>
      <c r="Z77" s="1">
        <f>4*PI()^2*D77*'Enter data'!$C$85*'Enter data'!$E$15*'Enter data'!$E$16/LN('Enter data'!$C$45)</f>
        <v>1.3196626187664643E-8</v>
      </c>
      <c r="AA77" s="16">
        <f>27.28753*'Enter data'!$E$15^0.5*'Enter data'!$E$16*D77/'Enter data'!$C$86</f>
        <v>2.8718704140301823E-6</v>
      </c>
      <c r="AB77" s="16">
        <f t="shared" si="26"/>
        <v>8.7535674653443737E-7</v>
      </c>
      <c r="AC77" s="19"/>
      <c r="AD77">
        <f>2*PI()/'Enter data'!$E$11/LN($C$3/$C$2)</f>
        <v>5.1880404392247992E-18</v>
      </c>
      <c r="AE77" s="14">
        <f>8.686*AD77*'Enter data'!$C$46/2</f>
        <v>1.1298253133715425E-15</v>
      </c>
      <c r="AF77" s="16">
        <f t="shared" si="7"/>
        <v>3.4437494311495441E-16</v>
      </c>
      <c r="AH77" s="1">
        <f t="shared" ref="AH77:AH108" si="31">Q77+R77+AA77+AE77</f>
        <v>3.2773052212355207E-2</v>
      </c>
      <c r="AI77" s="16">
        <f t="shared" si="9"/>
        <v>9.9893477847949295E-3</v>
      </c>
      <c r="AK77" s="1">
        <f t="shared" si="10"/>
        <v>3.0517407295589777E-3</v>
      </c>
      <c r="AL77" s="1">
        <f t="shared" si="11"/>
        <v>1.9256920010200469E-2</v>
      </c>
      <c r="AM77" s="1">
        <f t="shared" si="12"/>
        <v>2.2308660739759446E-2</v>
      </c>
      <c r="AN77" s="1">
        <f t="shared" si="13"/>
        <v>2.2311532610174607E-2</v>
      </c>
      <c r="AP77" s="1">
        <f t="shared" si="14"/>
        <v>4.482837191847033E-3</v>
      </c>
      <c r="AQ77" s="1">
        <f t="shared" si="15"/>
        <v>2.8287343150093014E-2</v>
      </c>
      <c r="AR77" s="1">
        <f t="shared" si="16"/>
        <v>3.2770180341940049E-2</v>
      </c>
      <c r="AS77" s="1">
        <f t="shared" si="17"/>
        <v>3.2773052212355207E-2</v>
      </c>
      <c r="AU77" s="1">
        <f t="shared" si="18"/>
        <v>4.0299585645406861E-3</v>
      </c>
      <c r="AV77" s="1">
        <f t="shared" si="19"/>
        <v>3.514589237026456E-2</v>
      </c>
      <c r="AW77" s="1">
        <f t="shared" si="20"/>
        <v>3.9175850934805245E-2</v>
      </c>
      <c r="AX77" s="1">
        <f t="shared" si="21"/>
        <v>3.9178722805220403E-2</v>
      </c>
    </row>
    <row r="78" spans="4:50" x14ac:dyDescent="0.25">
      <c r="D78" s="1">
        <f>D77*'Enter data'!$C$77</f>
        <v>86685.372073865685</v>
      </c>
      <c r="E78">
        <f t="shared" ref="E78:E141" si="32">D78/1000000000</f>
        <v>8.6685372073865683E-5</v>
      </c>
      <c r="G78" s="1">
        <f t="shared" si="22"/>
        <v>2.211032841034919E-4</v>
      </c>
      <c r="H78" s="1">
        <f t="shared" si="23"/>
        <v>2.211032841034919E-4</v>
      </c>
      <c r="I78" s="1">
        <f t="shared" si="24"/>
        <v>3.1594415731650773E-7</v>
      </c>
      <c r="J78" s="1">
        <f t="shared" si="25"/>
        <v>5.040091078605621E-8</v>
      </c>
      <c r="K78" s="1">
        <f>'Enter data'!$C$86/D78</f>
        <v>3458.3973146535395</v>
      </c>
      <c r="L78" s="1"/>
      <c r="M78" s="24">
        <f>1+(2/PI())*ATAN(1.4*('Enter data'!C$32/G78)^2)</f>
        <v>1</v>
      </c>
      <c r="N78" s="24">
        <f>1+(2/PI())*ATAN(1.4*('Enter data'!D$32/H78)^2)</f>
        <v>1</v>
      </c>
      <c r="O78" s="1">
        <f t="shared" ref="O78:O141" si="33">C$5/I78*M78</f>
        <v>5.2952395581856444E-2</v>
      </c>
      <c r="P78" s="1">
        <f t="shared" ref="P78:P141" si="34">C$6/J78*N78</f>
        <v>0.33193844593436356</v>
      </c>
      <c r="Q78" s="16">
        <f>8.686*O78/2/'Enter data'!C$46</f>
        <v>4.586245758396887E-3</v>
      </c>
      <c r="R78" s="16">
        <f>8.686*P78/2/'Enter data'!C$46</f>
        <v>2.874943188098078E-2</v>
      </c>
      <c r="S78" s="16">
        <f t="shared" ref="S78:S141" si="35">Q78/3.2808</f>
        <v>1.3979047056805922E-3</v>
      </c>
      <c r="T78" s="16">
        <f t="shared" ref="T78:T141" si="36">R78/3.2808</f>
        <v>8.7629333945930202E-3</v>
      </c>
      <c r="U78">
        <f t="shared" si="30"/>
        <v>0.38489084151621999</v>
      </c>
      <c r="V78">
        <f>U78/(2*'Enter data'!$C$46)</f>
        <v>3.8378629564100467E-3</v>
      </c>
      <c r="W78">
        <f t="shared" ref="W78:W109" si="37">V78*8.68588</f>
        <v>3.3335217095822892E-2</v>
      </c>
      <c r="Y78" s="1"/>
      <c r="Z78" s="1">
        <f>4*PI()^2*D78*'Enter data'!$C$85*'Enter data'!$E$15*'Enter data'!$E$16/LN('Enter data'!$C$45)</f>
        <v>1.5762253878397109E-8</v>
      </c>
      <c r="AA78" s="16">
        <f>27.28753*'Enter data'!$E$15^0.5*'Enter data'!$E$16*D78/'Enter data'!$C$86</f>
        <v>3.4302063215304202E-6</v>
      </c>
      <c r="AB78" s="16">
        <f t="shared" si="26"/>
        <v>1.0455396005640149E-6</v>
      </c>
      <c r="AC78" s="19"/>
      <c r="AD78">
        <f>2*PI()/'Enter data'!$E$11/LN($C$3/$C$2)</f>
        <v>5.1880404392247992E-18</v>
      </c>
      <c r="AE78" s="14">
        <f>8.686*AD78*'Enter data'!$C$46/2</f>
        <v>1.1298253133715425E-15</v>
      </c>
      <c r="AF78" s="16">
        <f t="shared" ref="AF78:AF141" si="38">AE78/3.2808</f>
        <v>3.4437494311495441E-16</v>
      </c>
      <c r="AH78" s="1">
        <f t="shared" si="31"/>
        <v>3.3339107845700329E-2</v>
      </c>
      <c r="AI78" s="16">
        <f t="shared" ref="AI78:AI141" si="39">AH78/3.2808</f>
        <v>1.0161883639874521E-2</v>
      </c>
      <c r="AK78" s="1">
        <f t="shared" ref="AK78:AK141" si="40">$Q78*(1+$AM$2*($AK$6-25))</f>
        <v>3.1221372487320229E-3</v>
      </c>
      <c r="AL78" s="1">
        <f t="shared" ref="AL78:AL119" si="41">$R78*(1+$AM$2*($AK$6-25))</f>
        <v>1.9571491996728356E-2</v>
      </c>
      <c r="AM78" s="1">
        <f t="shared" ref="AM78:AM141" si="42">AK78+AL78</f>
        <v>2.2693629245460378E-2</v>
      </c>
      <c r="AN78" s="1">
        <f t="shared" ref="AN78:AN141" si="43">AM78+$AE78+$AA78</f>
        <v>2.269705945178304E-2</v>
      </c>
      <c r="AP78" s="1">
        <f t="shared" ref="AP78:AP141" si="44">$Q78*(1+$AM$2*($AP$6-25))</f>
        <v>4.586245758396887E-3</v>
      </c>
      <c r="AQ78" s="1">
        <f t="shared" ref="AQ78:AQ141" si="45">$R78*(1+$AM$3*($AP$6-25))</f>
        <v>2.874943188098078E-2</v>
      </c>
      <c r="AR78" s="1">
        <f t="shared" ref="AR78:AR141" si="46">AP78+AQ78</f>
        <v>3.333567763937767E-2</v>
      </c>
      <c r="AS78" s="1">
        <f t="shared" ref="AS78:AS141" si="47">AR78+$AE78+$AA78</f>
        <v>3.3339107845700329E-2</v>
      </c>
      <c r="AU78" s="1">
        <f t="shared" ref="AU78:AU141" si="48">$Q78*(1+$AM$2*($UP$6-25))</f>
        <v>4.1229202806548418E-3</v>
      </c>
      <c r="AV78" s="1">
        <f t="shared" ref="AV78:AV141" si="49">$R78*(1+$AM$3*($AU$6-25))</f>
        <v>3.5720019134843378E-2</v>
      </c>
      <c r="AW78" s="1">
        <f t="shared" ref="AW78:AW141" si="50">AU78+AV78</f>
        <v>3.984293941549822E-2</v>
      </c>
      <c r="AX78" s="1">
        <f t="shared" ref="AX78:AX141" si="51">AW78+$AE78+$AA78</f>
        <v>3.9846369621820879E-2</v>
      </c>
    </row>
    <row r="79" spans="4:50" x14ac:dyDescent="0.25">
      <c r="D79" s="1">
        <f>D78*'Enter data'!$C$77</f>
        <v>103538.34553931428</v>
      </c>
      <c r="E79">
        <f t="shared" si="32"/>
        <v>1.0353834553931428E-4</v>
      </c>
      <c r="G79" s="1">
        <f t="shared" ref="G79:G142" si="52">(C$5/(PI()*D79*H$5))^0.5</f>
        <v>2.0231006592935839E-4</v>
      </c>
      <c r="H79" s="1">
        <f t="shared" ref="H79:H142" si="53">(C$6/(PI()*D79*H$6))^0.5</f>
        <v>2.0231006592935839E-4</v>
      </c>
      <c r="I79" s="1">
        <f t="shared" ref="I79:I114" si="54">2*PI()*G79*(C$3+G79-(C$4+G79)*EXP((C$3-C$4)/G79))</f>
        <v>3.0823418287284848E-7</v>
      </c>
      <c r="J79" s="1">
        <f t="shared" ref="J79:J114" si="55">2*PI()*H79*(C$2+H79*(EXP(-C$2/H79)-1))</f>
        <v>4.9524523612944035E-8</v>
      </c>
      <c r="K79" s="1">
        <f>'Enter data'!$C$86/D79</f>
        <v>2895.4727491387871</v>
      </c>
      <c r="L79" s="1"/>
      <c r="M79" s="24">
        <f>1+(2/PI())*ATAN(1.4*('Enter data'!C$32/G79)^2)</f>
        <v>1</v>
      </c>
      <c r="N79" s="24">
        <f>1+(2/PI())*ATAN(1.4*('Enter data'!D$32/H79)^2)</f>
        <v>1</v>
      </c>
      <c r="O79" s="1">
        <f t="shared" si="33"/>
        <v>5.4276913235484316E-2</v>
      </c>
      <c r="P79" s="1">
        <f t="shared" si="34"/>
        <v>0.33781243673845951</v>
      </c>
      <c r="Q79" s="16">
        <f>8.686*O79/2/'Enter data'!C$46</f>
        <v>4.7009632023222005E-3</v>
      </c>
      <c r="R79" s="16">
        <f>8.686*P79/2/'Enter data'!C$46</f>
        <v>2.9258182526048442E-2</v>
      </c>
      <c r="S79" s="16">
        <f t="shared" si="35"/>
        <v>1.4328710077792612E-3</v>
      </c>
      <c r="T79" s="16">
        <f t="shared" si="36"/>
        <v>8.9180024768496825E-3</v>
      </c>
      <c r="U79">
        <f t="shared" si="30"/>
        <v>0.39208934997394385</v>
      </c>
      <c r="V79">
        <f>U79/(2*'Enter data'!$C$46)</f>
        <v>3.9096414607840942E-3</v>
      </c>
      <c r="W79">
        <f t="shared" si="37"/>
        <v>3.3958676571395348E-2</v>
      </c>
      <c r="Y79" s="1"/>
      <c r="Z79" s="1">
        <f>4*PI()^2*D79*'Enter data'!$C$85*'Enter data'!$E$15*'Enter data'!$E$16/LN('Enter data'!$C$45)</f>
        <v>1.8826679167382827E-8</v>
      </c>
      <c r="AA79" s="16">
        <f>27.28753*'Enter data'!$E$15^0.5*'Enter data'!$E$16*D79/'Enter data'!$C$86</f>
        <v>4.0970913418601052E-6</v>
      </c>
      <c r="AB79" s="16">
        <f t="shared" ref="AB79:AB142" si="56">AA79/3.2808</f>
        <v>1.2488086265118584E-6</v>
      </c>
      <c r="AC79" s="19"/>
      <c r="AD79">
        <f>2*PI()/'Enter data'!$E$11/LN($C$3/$C$2)</f>
        <v>5.1880404392247992E-18</v>
      </c>
      <c r="AE79" s="14">
        <f>8.686*AD79*'Enter data'!$C$46/2</f>
        <v>1.1298253133715425E-15</v>
      </c>
      <c r="AF79" s="16">
        <f t="shared" si="38"/>
        <v>3.4437494311495441E-16</v>
      </c>
      <c r="AH79" s="1">
        <f t="shared" si="31"/>
        <v>3.3963242819713635E-2</v>
      </c>
      <c r="AI79" s="16">
        <f t="shared" si="39"/>
        <v>1.0352122293255802E-2</v>
      </c>
      <c r="AK79" s="1">
        <f t="shared" si="40"/>
        <v>3.2002324105760635E-3</v>
      </c>
      <c r="AL79" s="1">
        <f t="shared" si="41"/>
        <v>1.9917829594615261E-2</v>
      </c>
      <c r="AM79" s="1">
        <f t="shared" si="42"/>
        <v>2.3118062005191325E-2</v>
      </c>
      <c r="AN79" s="1">
        <f t="shared" si="43"/>
        <v>2.3122159096534315E-2</v>
      </c>
      <c r="AP79" s="1">
        <f t="shared" si="44"/>
        <v>4.7009632023222005E-3</v>
      </c>
      <c r="AQ79" s="1">
        <f t="shared" si="45"/>
        <v>2.9258182526048442E-2</v>
      </c>
      <c r="AR79" s="1">
        <f t="shared" si="46"/>
        <v>3.3959145728370645E-2</v>
      </c>
      <c r="AS79" s="1">
        <f t="shared" si="47"/>
        <v>3.3963242819713635E-2</v>
      </c>
      <c r="AU79" s="1">
        <f t="shared" si="48"/>
        <v>4.2260483948076003E-3</v>
      </c>
      <c r="AV79" s="1">
        <f t="shared" si="49"/>
        <v>3.6352121461314141E-2</v>
      </c>
      <c r="AW79" s="1">
        <f t="shared" si="50"/>
        <v>4.057816985612174E-2</v>
      </c>
      <c r="AX79" s="1">
        <f t="shared" si="51"/>
        <v>4.058226694746473E-2</v>
      </c>
    </row>
    <row r="80" spans="4:50" x14ac:dyDescent="0.25">
      <c r="D80" s="1">
        <f>D79*'Enter data'!$C$77</f>
        <v>123667.79700597738</v>
      </c>
      <c r="E80">
        <f t="shared" si="32"/>
        <v>1.2366779700597738E-4</v>
      </c>
      <c r="G80" s="1">
        <f t="shared" si="52"/>
        <v>1.8511422361860316E-4</v>
      </c>
      <c r="H80" s="1">
        <f t="shared" si="53"/>
        <v>1.8511422361860316E-4</v>
      </c>
      <c r="I80" s="1">
        <f t="shared" si="54"/>
        <v>3.0010116371345054E-7</v>
      </c>
      <c r="J80" s="1">
        <f t="shared" si="55"/>
        <v>4.8593769997103939E-8</v>
      </c>
      <c r="K80" s="1">
        <f>'Enter data'!$C$86/D80</f>
        <v>2424.1756161105527</v>
      </c>
      <c r="L80" s="1"/>
      <c r="M80" s="24">
        <f>1+(2/PI())*ATAN(1.4*('Enter data'!C$32/G80)^2)</f>
        <v>1</v>
      </c>
      <c r="N80" s="24">
        <f>1+(2/PI())*ATAN(1.4*('Enter data'!D$32/H80)^2)</f>
        <v>1</v>
      </c>
      <c r="O80" s="1">
        <f t="shared" si="33"/>
        <v>5.5747867795589504E-2</v>
      </c>
      <c r="P80" s="1">
        <f t="shared" si="34"/>
        <v>0.34428281652148135</v>
      </c>
      <c r="Q80" s="16">
        <f>8.686*O80/2/'Enter data'!C$46</f>
        <v>4.8283636539532973E-3</v>
      </c>
      <c r="R80" s="16">
        <f>8.686*P80/2/'Enter data'!C$46</f>
        <v>2.9818586857316663E-2</v>
      </c>
      <c r="S80" s="16">
        <f t="shared" si="35"/>
        <v>1.4717031376351186E-3</v>
      </c>
      <c r="T80" s="16">
        <f t="shared" si="36"/>
        <v>9.0888157941101753E-3</v>
      </c>
      <c r="U80">
        <f t="shared" si="30"/>
        <v>0.40003068431707084</v>
      </c>
      <c r="V80">
        <f>U80/(2*'Enter data'!$C$46)</f>
        <v>3.9888269066624413E-3</v>
      </c>
      <c r="W80">
        <f t="shared" si="37"/>
        <v>3.4646471852041165E-2</v>
      </c>
      <c r="Y80" s="1"/>
      <c r="Z80" s="1">
        <f>4*PI()^2*D80*'Enter data'!$C$85*'Enter data'!$E$15*'Enter data'!$E$16/LN('Enter data'!$C$45)</f>
        <v>2.2486876001746696E-8</v>
      </c>
      <c r="AA80" s="16">
        <f>27.28753*'Enter data'!$E$15^0.5*'Enter data'!$E$16*D80/'Enter data'!$C$86</f>
        <v>4.8936290969389061E-6</v>
      </c>
      <c r="AB80" s="16">
        <f t="shared" si="56"/>
        <v>1.491596286557823E-6</v>
      </c>
      <c r="AC80" s="19"/>
      <c r="AD80">
        <f>2*PI()/'Enter data'!$E$11/LN($C$3/$C$2)</f>
        <v>5.1880404392247992E-18</v>
      </c>
      <c r="AE80" s="14">
        <f>8.686*AD80*'Enter data'!$C$46/2</f>
        <v>1.1298253133715425E-15</v>
      </c>
      <c r="AF80" s="16">
        <f t="shared" si="38"/>
        <v>3.4437494311495441E-16</v>
      </c>
      <c r="AH80" s="1">
        <f t="shared" si="31"/>
        <v>3.4651844140368031E-2</v>
      </c>
      <c r="AI80" s="16">
        <f t="shared" si="39"/>
        <v>1.0562010528032196E-2</v>
      </c>
      <c r="AK80" s="1">
        <f t="shared" si="40"/>
        <v>3.2869616694289005E-3</v>
      </c>
      <c r="AL80" s="1">
        <f t="shared" si="41"/>
        <v>2.0299331007573748E-2</v>
      </c>
      <c r="AM80" s="1">
        <f t="shared" si="42"/>
        <v>2.3586292677002647E-2</v>
      </c>
      <c r="AN80" s="1">
        <f t="shared" si="43"/>
        <v>2.3591186306100718E-2</v>
      </c>
      <c r="AP80" s="1">
        <f t="shared" si="44"/>
        <v>4.8283636539532973E-3</v>
      </c>
      <c r="AQ80" s="1">
        <f t="shared" si="45"/>
        <v>2.9818586857316663E-2</v>
      </c>
      <c r="AR80" s="1">
        <f t="shared" si="46"/>
        <v>3.464695051126996E-2</v>
      </c>
      <c r="AS80" s="1">
        <f t="shared" si="47"/>
        <v>3.4651844140368031E-2</v>
      </c>
      <c r="AU80" s="1">
        <f t="shared" si="48"/>
        <v>4.3405782158126649E-3</v>
      </c>
      <c r="AV80" s="1">
        <f t="shared" si="49"/>
        <v>3.7048401426741658E-2</v>
      </c>
      <c r="AW80" s="1">
        <f t="shared" si="50"/>
        <v>4.1388979642554322E-2</v>
      </c>
      <c r="AX80" s="1">
        <f t="shared" si="51"/>
        <v>4.1393873271652393E-2</v>
      </c>
    </row>
    <row r="81" spans="4:50" x14ac:dyDescent="0.25">
      <c r="D81" s="1">
        <f>D80*'Enter data'!$C$77</f>
        <v>147710.72433743387</v>
      </c>
      <c r="E81">
        <f t="shared" si="32"/>
        <v>1.4771072433743387E-4</v>
      </c>
      <c r="G81" s="1">
        <f t="shared" si="52"/>
        <v>1.6937998427563899E-4</v>
      </c>
      <c r="H81" s="1">
        <f t="shared" si="53"/>
        <v>1.6937998427563899E-4</v>
      </c>
      <c r="I81" s="1">
        <f t="shared" si="54"/>
        <v>2.9154833056308502E-7</v>
      </c>
      <c r="J81" s="1">
        <f t="shared" si="55"/>
        <v>4.760769208918161E-8</v>
      </c>
      <c r="K81" s="1">
        <f>'Enter data'!$C$86/D81</f>
        <v>2029.5916856730526</v>
      </c>
      <c r="L81" s="1"/>
      <c r="M81" s="24">
        <f>1+(2/PI())*ATAN(1.4*('Enter data'!C$32/G81)^2)</f>
        <v>1</v>
      </c>
      <c r="N81" s="24">
        <f>1+(2/PI())*ATAN(1.4*('Enter data'!D$32/H81)^2)</f>
        <v>1</v>
      </c>
      <c r="O81" s="1">
        <f t="shared" si="33"/>
        <v>5.7383281762198174E-2</v>
      </c>
      <c r="P81" s="1">
        <f t="shared" si="34"/>
        <v>0.35141380028799452</v>
      </c>
      <c r="Q81" s="16">
        <f>8.686*O81/2/'Enter data'!C$46</f>
        <v>4.9700080552153234E-3</v>
      </c>
      <c r="R81" s="16">
        <f>8.686*P81/2/'Enter data'!C$46</f>
        <v>3.0436206583355538E-2</v>
      </c>
      <c r="S81" s="16">
        <f t="shared" si="35"/>
        <v>1.5148768761324442E-3</v>
      </c>
      <c r="T81" s="16">
        <f t="shared" si="36"/>
        <v>9.2770685757606487E-3</v>
      </c>
      <c r="U81">
        <f t="shared" si="30"/>
        <v>0.40879708205019272</v>
      </c>
      <c r="V81">
        <f>U81/(2*'Enter data'!$C$46)</f>
        <v>4.0762393090687157E-3</v>
      </c>
      <c r="W81">
        <f t="shared" si="37"/>
        <v>3.5405725489853775E-2</v>
      </c>
      <c r="Y81" s="1"/>
      <c r="Z81" s="1">
        <f>4*PI()^2*D81*'Enter data'!$C$85*'Enter data'!$E$15*'Enter data'!$E$16/LN('Enter data'!$C$45)</f>
        <v>2.6858671559771683E-8</v>
      </c>
      <c r="AA81" s="16">
        <f>27.28753*'Enter data'!$E$15^0.5*'Enter data'!$E$16*D81/'Enter data'!$C$86</f>
        <v>5.8450260783140678E-6</v>
      </c>
      <c r="AB81" s="16">
        <f t="shared" si="56"/>
        <v>1.7815856127511788E-6</v>
      </c>
      <c r="AC81" s="19"/>
      <c r="AD81">
        <f>2*PI()/'Enter data'!$E$11/LN($C$3/$C$2)</f>
        <v>5.1880404392247992E-18</v>
      </c>
      <c r="AE81" s="14">
        <f>8.686*AD81*'Enter data'!$C$46/2</f>
        <v>1.1298253133715425E-15</v>
      </c>
      <c r="AF81" s="16">
        <f t="shared" si="38"/>
        <v>3.4437494311495441E-16</v>
      </c>
      <c r="AH81" s="1">
        <f t="shared" si="31"/>
        <v>3.541205966465031E-2</v>
      </c>
      <c r="AI81" s="16">
        <f t="shared" si="39"/>
        <v>1.079372703750619E-2</v>
      </c>
      <c r="AK81" s="1">
        <f t="shared" si="40"/>
        <v>3.3833876536764384E-3</v>
      </c>
      <c r="AL81" s="1">
        <f t="shared" si="41"/>
        <v>2.0719782429891698E-2</v>
      </c>
      <c r="AM81" s="1">
        <f t="shared" si="42"/>
        <v>2.4103170083568135E-2</v>
      </c>
      <c r="AN81" s="1">
        <f t="shared" si="43"/>
        <v>2.410901510964758E-2</v>
      </c>
      <c r="AP81" s="1">
        <f t="shared" si="44"/>
        <v>4.9700080552153234E-3</v>
      </c>
      <c r="AQ81" s="1">
        <f t="shared" si="45"/>
        <v>3.0436206583355538E-2</v>
      </c>
      <c r="AR81" s="1">
        <f t="shared" si="46"/>
        <v>3.5406214638570861E-2</v>
      </c>
      <c r="AS81" s="1">
        <f t="shared" si="47"/>
        <v>3.541205966465031E-2</v>
      </c>
      <c r="AU81" s="1">
        <f t="shared" si="48"/>
        <v>4.4679129914371955E-3</v>
      </c>
      <c r="AV81" s="1">
        <f t="shared" si="49"/>
        <v>3.7815769231555919E-2</v>
      </c>
      <c r="AW81" s="1">
        <f t="shared" si="50"/>
        <v>4.2283682222993113E-2</v>
      </c>
      <c r="AX81" s="1">
        <f t="shared" si="51"/>
        <v>4.2289527249072562E-2</v>
      </c>
    </row>
    <row r="82" spans="4:50" x14ac:dyDescent="0.25">
      <c r="D82" s="1">
        <f>D81*'Enter data'!$C$77</f>
        <v>176427.96760772573</v>
      </c>
      <c r="E82">
        <f t="shared" si="32"/>
        <v>1.7642796760772574E-4</v>
      </c>
      <c r="G82" s="1">
        <f t="shared" si="52"/>
        <v>1.5498311535652596E-4</v>
      </c>
      <c r="H82" s="1">
        <f t="shared" si="53"/>
        <v>1.5498311535652596E-4</v>
      </c>
      <c r="I82" s="1">
        <f t="shared" si="54"/>
        <v>2.8258393971686074E-7</v>
      </c>
      <c r="J82" s="1">
        <f t="shared" si="55"/>
        <v>4.6565747295364482E-8</v>
      </c>
      <c r="K82" s="1">
        <f>'Enter data'!$C$86/D82</f>
        <v>1699.2343224548497</v>
      </c>
      <c r="L82" s="1"/>
      <c r="M82" s="24">
        <f>1+(2/PI())*ATAN(1.4*('Enter data'!C$32/G82)^2)</f>
        <v>1</v>
      </c>
      <c r="N82" s="24">
        <f>1+(2/PI())*ATAN(1.4*('Enter data'!D$32/H82)^2)</f>
        <v>1</v>
      </c>
      <c r="O82" s="1">
        <f t="shared" si="33"/>
        <v>5.9203647655145859E-2</v>
      </c>
      <c r="P82" s="1">
        <f t="shared" si="34"/>
        <v>0.359276957242463</v>
      </c>
      <c r="Q82" s="16">
        <f>8.686*O82/2/'Enter data'!C$46</f>
        <v>5.1276712782579136E-3</v>
      </c>
      <c r="R82" s="16">
        <f>8.686*P82/2/'Enter data'!C$46</f>
        <v>3.1117240365373822E-2</v>
      </c>
      <c r="S82" s="16">
        <f t="shared" si="35"/>
        <v>1.5629332108808563E-3</v>
      </c>
      <c r="T82" s="16">
        <f t="shared" si="36"/>
        <v>9.4846501967123329E-3</v>
      </c>
      <c r="U82">
        <f t="shared" si="30"/>
        <v>0.41848060489760885</v>
      </c>
      <c r="V82">
        <f>U82/(2*'Enter data'!$C$46)</f>
        <v>4.1727966432917032E-3</v>
      </c>
      <c r="W82">
        <f t="shared" si="37"/>
        <v>3.6244410908034534E-2</v>
      </c>
      <c r="Y82" s="1"/>
      <c r="Z82" s="1">
        <f>4*PI()^2*D82*'Enter data'!$C$85*'Enter data'!$E$15*'Enter data'!$E$16/LN('Enter data'!$C$45)</f>
        <v>3.2080411609849847E-8</v>
      </c>
      <c r="AA82" s="16">
        <f>27.28753*'Enter data'!$E$15^0.5*'Enter data'!$E$16*D82/'Enter data'!$C$86</f>
        <v>6.9813893083033652E-6</v>
      </c>
      <c r="AB82" s="16">
        <f t="shared" si="56"/>
        <v>2.1279533370834444E-6</v>
      </c>
      <c r="AC82" s="19"/>
      <c r="AD82">
        <f>2*PI()/'Enter data'!$E$11/LN($C$3/$C$2)</f>
        <v>5.1880404392247992E-18</v>
      </c>
      <c r="AE82" s="14">
        <f>8.686*AD82*'Enter data'!$C$46/2</f>
        <v>1.1298253133715425E-15</v>
      </c>
      <c r="AF82" s="16">
        <f t="shared" si="38"/>
        <v>3.4437494311495441E-16</v>
      </c>
      <c r="AH82" s="1">
        <f t="shared" si="31"/>
        <v>3.6251893032941171E-2</v>
      </c>
      <c r="AI82" s="16">
        <f t="shared" si="39"/>
        <v>1.1049711360930617E-2</v>
      </c>
      <c r="AK82" s="1">
        <f t="shared" si="40"/>
        <v>3.4907186270581353E-3</v>
      </c>
      <c r="AL82" s="1">
        <f t="shared" si="41"/>
        <v>2.1183403668372246E-2</v>
      </c>
      <c r="AM82" s="1">
        <f t="shared" si="42"/>
        <v>2.4674122295430381E-2</v>
      </c>
      <c r="AN82" s="1">
        <f t="shared" si="43"/>
        <v>2.4681103684739816E-2</v>
      </c>
      <c r="AP82" s="1">
        <f t="shared" si="44"/>
        <v>5.1276712782579136E-3</v>
      </c>
      <c r="AQ82" s="1">
        <f t="shared" si="45"/>
        <v>3.1117240365373822E-2</v>
      </c>
      <c r="AR82" s="1">
        <f t="shared" si="46"/>
        <v>3.6244911643631736E-2</v>
      </c>
      <c r="AS82" s="1">
        <f t="shared" si="47"/>
        <v>3.6251893032941171E-2</v>
      </c>
      <c r="AU82" s="1">
        <f t="shared" si="48"/>
        <v>4.6096482873719076E-3</v>
      </c>
      <c r="AV82" s="1">
        <f t="shared" si="49"/>
        <v>3.8661926464362353E-2</v>
      </c>
      <c r="AW82" s="1">
        <f t="shared" si="50"/>
        <v>4.3271574751734258E-2</v>
      </c>
      <c r="AX82" s="1">
        <f t="shared" si="51"/>
        <v>4.3278556141043693E-2</v>
      </c>
    </row>
    <row r="83" spans="4:50" x14ac:dyDescent="0.25">
      <c r="D83" s="1">
        <f>D82*'Enter data'!$C$77</f>
        <v>210728.28593735592</v>
      </c>
      <c r="E83">
        <f t="shared" si="32"/>
        <v>2.1072828593735591E-4</v>
      </c>
      <c r="G83" s="1">
        <f t="shared" si="52"/>
        <v>1.4180994376836094E-4</v>
      </c>
      <c r="H83" s="1">
        <f t="shared" si="53"/>
        <v>1.4180994376836094E-4</v>
      </c>
      <c r="I83" s="1">
        <f t="shared" si="54"/>
        <v>2.732218867059852E-7</v>
      </c>
      <c r="J83" s="1">
        <f t="shared" si="55"/>
        <v>4.5467879001224471E-8</v>
      </c>
      <c r="K83" s="1">
        <f>'Enter data'!$C$86/D83</f>
        <v>1422.6493451815033</v>
      </c>
      <c r="L83" s="1"/>
      <c r="M83" s="24">
        <f>1+(2/PI())*ATAN(1.4*('Enter data'!C$32/G83)^2)</f>
        <v>1</v>
      </c>
      <c r="N83" s="24">
        <f>1+(2/PI())*ATAN(1.4*('Enter data'!D$32/H83)^2)</f>
        <v>1</v>
      </c>
      <c r="O83" s="1">
        <f t="shared" si="33"/>
        <v>6.1232283407819374E-2</v>
      </c>
      <c r="P83" s="1">
        <f t="shared" si="34"/>
        <v>0.36795206566704936</v>
      </c>
      <c r="Q83" s="16">
        <f>8.686*O83/2/'Enter data'!C$46</f>
        <v>5.3033729063674271E-3</v>
      </c>
      <c r="R83" s="16">
        <f>8.686*P83/2/'Enter data'!C$46</f>
        <v>3.1868597858811278E-2</v>
      </c>
      <c r="S83" s="16">
        <f t="shared" si="35"/>
        <v>1.6164877183514469E-3</v>
      </c>
      <c r="T83" s="16">
        <f t="shared" si="36"/>
        <v>9.7136667455533024E-3</v>
      </c>
      <c r="U83">
        <f t="shared" si="30"/>
        <v>0.42918434907486874</v>
      </c>
      <c r="V83">
        <f>U83/(2*'Enter data'!$C$46)</f>
        <v>4.2795269128688357E-3</v>
      </c>
      <c r="W83">
        <f t="shared" si="37"/>
        <v>3.7171457221949158E-2</v>
      </c>
      <c r="Y83" s="1"/>
      <c r="Z83" s="1">
        <f>4*PI()^2*D83*'Enter data'!$C$85*'Enter data'!$E$15*'Enter data'!$E$16/LN('Enter data'!$C$45)</f>
        <v>3.8317338471751923E-8</v>
      </c>
      <c r="AA83" s="16">
        <f>27.28753*'Enter data'!$E$15^0.5*'Enter data'!$E$16*D83/'Enter data'!$C$86</f>
        <v>8.3386790787682835E-6</v>
      </c>
      <c r="AB83" s="16">
        <f t="shared" si="56"/>
        <v>2.5416602897976967E-6</v>
      </c>
      <c r="AC83" s="19"/>
      <c r="AD83">
        <f>2*PI()/'Enter data'!$E$11/LN($C$3/$C$2)</f>
        <v>5.1880404392247992E-18</v>
      </c>
      <c r="AE83" s="14">
        <f>8.686*AD83*'Enter data'!$C$46/2</f>
        <v>1.1298253133715425E-15</v>
      </c>
      <c r="AF83" s="16">
        <f t="shared" si="38"/>
        <v>3.4437494311495441E-16</v>
      </c>
      <c r="AH83" s="1">
        <f t="shared" si="31"/>
        <v>3.7180309444258604E-2</v>
      </c>
      <c r="AI83" s="16">
        <f t="shared" si="39"/>
        <v>1.1332696124194892E-2</v>
      </c>
      <c r="AK83" s="1">
        <f t="shared" si="40"/>
        <v>3.6103294431115958E-3</v>
      </c>
      <c r="AL83" s="1">
        <f t="shared" si="41"/>
        <v>2.1694898546962223E-2</v>
      </c>
      <c r="AM83" s="1">
        <f t="shared" si="42"/>
        <v>2.5305227990073818E-2</v>
      </c>
      <c r="AN83" s="1">
        <f t="shared" si="43"/>
        <v>2.5313566669153718E-2</v>
      </c>
      <c r="AP83" s="1">
        <f t="shared" si="44"/>
        <v>5.3033729063674271E-3</v>
      </c>
      <c r="AQ83" s="1">
        <f t="shared" si="45"/>
        <v>3.1868597858811278E-2</v>
      </c>
      <c r="AR83" s="1">
        <f t="shared" si="46"/>
        <v>3.7171970765178704E-2</v>
      </c>
      <c r="AS83" s="1">
        <f t="shared" si="47"/>
        <v>3.7180309444258604E-2</v>
      </c>
      <c r="AU83" s="1">
        <f t="shared" si="48"/>
        <v>4.7675996585016577E-3</v>
      </c>
      <c r="AV83" s="1">
        <f t="shared" si="49"/>
        <v>3.9595458095658655E-2</v>
      </c>
      <c r="AW83" s="1">
        <f t="shared" si="50"/>
        <v>4.4363057754160315E-2</v>
      </c>
      <c r="AX83" s="1">
        <f t="shared" si="51"/>
        <v>4.4371396433240215E-2</v>
      </c>
    </row>
    <row r="84" spans="4:50" x14ac:dyDescent="0.25">
      <c r="D84" s="1">
        <f>D83*'Enter data'!$C$77</f>
        <v>251697.11523759281</v>
      </c>
      <c r="E84">
        <f t="shared" si="32"/>
        <v>2.516971152375928E-4</v>
      </c>
      <c r="G84" s="1">
        <f t="shared" si="52"/>
        <v>1.2975645834273079E-4</v>
      </c>
      <c r="H84" s="1">
        <f t="shared" si="53"/>
        <v>1.2975645834273079E-4</v>
      </c>
      <c r="I84" s="1">
        <f t="shared" si="54"/>
        <v>2.6348227210142771E-7</v>
      </c>
      <c r="J84" s="1">
        <f t="shared" si="55"/>
        <v>4.4314587756424093E-8</v>
      </c>
      <c r="K84" s="1">
        <f>'Enter data'!$C$86/D84</f>
        <v>1191.0842033966378</v>
      </c>
      <c r="L84" s="1"/>
      <c r="M84" s="24">
        <f>1+(2/PI())*ATAN(1.4*('Enter data'!C$32/G84)^2)</f>
        <v>1</v>
      </c>
      <c r="N84" s="24">
        <f>1+(2/PI())*ATAN(1.4*('Enter data'!D$32/H84)^2)</f>
        <v>1</v>
      </c>
      <c r="O84" s="1">
        <f t="shared" si="33"/>
        <v>6.3495733001572782E-2</v>
      </c>
      <c r="P84" s="1">
        <f t="shared" si="34"/>
        <v>0.3775280522061209</v>
      </c>
      <c r="Q84" s="16">
        <f>8.686*O84/2/'Enter data'!C$46</f>
        <v>5.4994119332071037E-3</v>
      </c>
      <c r="R84" s="16">
        <f>8.686*P84/2/'Enter data'!C$46</f>
        <v>3.2697981065457564E-2</v>
      </c>
      <c r="S84" s="16">
        <f t="shared" si="35"/>
        <v>1.6762411403337917E-3</v>
      </c>
      <c r="T84" s="16">
        <f t="shared" si="36"/>
        <v>9.9664658209758488E-3</v>
      </c>
      <c r="U84">
        <f t="shared" si="30"/>
        <v>0.4410237852076937</v>
      </c>
      <c r="V84">
        <f>U84/(2*'Enter data'!$C$46)</f>
        <v>4.3975815103228953E-3</v>
      </c>
      <c r="W84">
        <f t="shared" si="37"/>
        <v>3.8196865288883428E-2</v>
      </c>
      <c r="Y84" s="1"/>
      <c r="Z84" s="1">
        <f>4*PI()^2*D84*'Enter data'!$C$85*'Enter data'!$E$15*'Enter data'!$E$16/LN('Enter data'!$C$45)</f>
        <v>4.5766820121098551E-8</v>
      </c>
      <c r="AA84" s="16">
        <f>27.28753*'Enter data'!$E$15^0.5*'Enter data'!$E$16*D84/'Enter data'!$C$86</f>
        <v>9.9598469170008349E-6</v>
      </c>
      <c r="AB84" s="16">
        <f t="shared" si="56"/>
        <v>3.0357982556086427E-6</v>
      </c>
      <c r="AC84" s="19"/>
      <c r="AD84">
        <f>2*PI()/'Enter data'!$E$11/LN($C$3/$C$2)</f>
        <v>5.1880404392247992E-18</v>
      </c>
      <c r="AE84" s="14">
        <f>8.686*AD84*'Enter data'!$C$46/2</f>
        <v>1.1298253133715425E-15</v>
      </c>
      <c r="AF84" s="16">
        <f t="shared" si="38"/>
        <v>3.4437494311495441E-16</v>
      </c>
      <c r="AH84" s="1">
        <f t="shared" si="31"/>
        <v>3.8207352845582798E-2</v>
      </c>
      <c r="AI84" s="16">
        <f t="shared" si="39"/>
        <v>1.1645742759565593E-2</v>
      </c>
      <c r="AK84" s="1">
        <f t="shared" si="40"/>
        <v>3.7437851670620009E-3</v>
      </c>
      <c r="AL84" s="1">
        <f t="shared" si="41"/>
        <v>2.2259510288101955E-2</v>
      </c>
      <c r="AM84" s="1">
        <f t="shared" si="42"/>
        <v>2.6003295455163958E-2</v>
      </c>
      <c r="AN84" s="1">
        <f t="shared" si="43"/>
        <v>2.6013255302082091E-2</v>
      </c>
      <c r="AP84" s="1">
        <f t="shared" si="44"/>
        <v>5.4994119332071037E-3</v>
      </c>
      <c r="AQ84" s="1">
        <f t="shared" si="45"/>
        <v>3.2697981065457564E-2</v>
      </c>
      <c r="AR84" s="1">
        <f t="shared" si="46"/>
        <v>3.8197392998664668E-2</v>
      </c>
      <c r="AS84" s="1">
        <f t="shared" si="47"/>
        <v>3.8207352845582798E-2</v>
      </c>
      <c r="AU84" s="1">
        <f t="shared" si="48"/>
        <v>4.9438338426548555E-3</v>
      </c>
      <c r="AV84" s="1">
        <f t="shared" si="49"/>
        <v>4.0625933554588399E-2</v>
      </c>
      <c r="AW84" s="1">
        <f t="shared" si="50"/>
        <v>4.5569767397243256E-2</v>
      </c>
      <c r="AX84" s="1">
        <f t="shared" si="51"/>
        <v>4.5579727244161386E-2</v>
      </c>
    </row>
    <row r="85" spans="4:50" x14ac:dyDescent="0.25">
      <c r="D85" s="1">
        <f>D84*'Enter data'!$C$77</f>
        <v>300630.91690385988</v>
      </c>
      <c r="E85">
        <f t="shared" si="32"/>
        <v>3.0063091690385989E-4</v>
      </c>
      <c r="G85" s="1">
        <f t="shared" si="52"/>
        <v>1.1872748859664417E-4</v>
      </c>
      <c r="H85" s="1">
        <f t="shared" si="53"/>
        <v>1.1872748859664417E-4</v>
      </c>
      <c r="I85" s="1">
        <f t="shared" si="54"/>
        <v>2.5339188402989394E-7</v>
      </c>
      <c r="J85" s="1">
        <f t="shared" si="55"/>
        <v>4.3107000358254064E-8</v>
      </c>
      <c r="K85" s="1">
        <f>'Enter data'!$C$86/D85</f>
        <v>997.21100240622286</v>
      </c>
      <c r="L85" s="1"/>
      <c r="M85" s="24">
        <f>1+(2/PI())*ATAN(1.4*('Enter data'!C$32/G85)^2)</f>
        <v>1</v>
      </c>
      <c r="N85" s="24">
        <f>1+(2/PI())*ATAN(1.4*('Enter data'!D$32/H85)^2)</f>
        <v>1</v>
      </c>
      <c r="O85" s="1">
        <f t="shared" si="33"/>
        <v>6.6024214090559738E-2</v>
      </c>
      <c r="P85" s="1">
        <f t="shared" si="34"/>
        <v>0.38810401700327463</v>
      </c>
      <c r="Q85" s="16">
        <f>8.686*O85/2/'Enter data'!C$46</f>
        <v>5.7184055319315875E-3</v>
      </c>
      <c r="R85" s="16">
        <f>8.686*P85/2/'Enter data'!C$46</f>
        <v>3.3613973121320667E-2</v>
      </c>
      <c r="S85" s="16">
        <f t="shared" si="35"/>
        <v>1.7429912009057507E-3</v>
      </c>
      <c r="T85" s="16">
        <f t="shared" si="36"/>
        <v>1.024566359464785E-2</v>
      </c>
      <c r="U85">
        <f t="shared" si="30"/>
        <v>0.45412823109383438</v>
      </c>
      <c r="V85">
        <f>U85/(2*'Enter data'!$C$46)</f>
        <v>4.5282499025158015E-3</v>
      </c>
      <c r="W85">
        <f t="shared" si="37"/>
        <v>3.9331835263263948E-2</v>
      </c>
      <c r="Y85" s="1"/>
      <c r="Z85" s="1">
        <f>4*PI()^2*D85*'Enter data'!$C$85*'Enter data'!$E$15*'Enter data'!$E$16/LN('Enter data'!$C$45)</f>
        <v>5.4664595912400372E-8</v>
      </c>
      <c r="AA85" s="16">
        <f>27.28753*'Enter data'!$E$15^0.5*'Enter data'!$E$16*D85/'Enter data'!$C$86</f>
        <v>1.1896194789732068E-5</v>
      </c>
      <c r="AB85" s="16">
        <f t="shared" si="56"/>
        <v>3.6260042641221857E-6</v>
      </c>
      <c r="AC85" s="19"/>
      <c r="AD85">
        <f>2*PI()/'Enter data'!$E$11/LN($C$3/$C$2)</f>
        <v>5.1880404392247992E-18</v>
      </c>
      <c r="AE85" s="14">
        <f>8.686*AD85*'Enter data'!$C$46/2</f>
        <v>1.1298253133715425E-15</v>
      </c>
      <c r="AF85" s="16">
        <f t="shared" si="38"/>
        <v>3.4437494311495441E-16</v>
      </c>
      <c r="AH85" s="1">
        <f t="shared" si="31"/>
        <v>3.9344274848043113E-2</v>
      </c>
      <c r="AI85" s="16">
        <f t="shared" si="39"/>
        <v>1.1992280799818067E-2</v>
      </c>
      <c r="AK85" s="1">
        <f t="shared" si="40"/>
        <v>3.892867468323279E-3</v>
      </c>
      <c r="AL85" s="1">
        <f t="shared" si="41"/>
        <v>2.2883081956043376E-2</v>
      </c>
      <c r="AM85" s="1">
        <f t="shared" si="42"/>
        <v>2.6775949424366653E-2</v>
      </c>
      <c r="AN85" s="1">
        <f t="shared" si="43"/>
        <v>2.6787845619157518E-2</v>
      </c>
      <c r="AP85" s="1">
        <f t="shared" si="44"/>
        <v>5.7184055319315875E-3</v>
      </c>
      <c r="AQ85" s="1">
        <f t="shared" si="45"/>
        <v>3.3613973121320667E-2</v>
      </c>
      <c r="AR85" s="1">
        <f t="shared" si="46"/>
        <v>3.9332378653252252E-2</v>
      </c>
      <c r="AS85" s="1">
        <f t="shared" si="47"/>
        <v>3.9344274848043113E-2</v>
      </c>
      <c r="AU85" s="1">
        <f t="shared" si="48"/>
        <v>5.1407036130681986E-3</v>
      </c>
      <c r="AV85" s="1">
        <f t="shared" si="49"/>
        <v>4.1764017044316072E-2</v>
      </c>
      <c r="AW85" s="1">
        <f t="shared" si="50"/>
        <v>4.6904720657384269E-2</v>
      </c>
      <c r="AX85" s="1">
        <f t="shared" si="51"/>
        <v>4.691661685217513E-2</v>
      </c>
    </row>
    <row r="86" spans="4:50" x14ac:dyDescent="0.25">
      <c r="D86" s="1">
        <f>D85*'Enter data'!$C$77</f>
        <v>359078.20442495379</v>
      </c>
      <c r="E86">
        <f t="shared" si="32"/>
        <v>3.5907820442495378E-4</v>
      </c>
      <c r="G86" s="1">
        <f t="shared" si="52"/>
        <v>1.0863595329670132E-4</v>
      </c>
      <c r="H86" s="1">
        <f t="shared" si="53"/>
        <v>1.0863595329670132E-4</v>
      </c>
      <c r="I86" s="1">
        <f t="shared" si="54"/>
        <v>2.4298455663514758E-7</v>
      </c>
      <c r="J86" s="1">
        <f t="shared" si="55"/>
        <v>4.1846933695339517E-8</v>
      </c>
      <c r="K86" s="1">
        <f>'Enter data'!$C$86/D86</f>
        <v>834.89461155155038</v>
      </c>
      <c r="L86" s="1"/>
      <c r="M86" s="24">
        <f>1+(2/PI())*ATAN(1.4*('Enter data'!C$32/G86)^2)</f>
        <v>1</v>
      </c>
      <c r="N86" s="24">
        <f>1+(2/PI())*ATAN(1.4*('Enter data'!D$32/H86)^2)</f>
        <v>1</v>
      </c>
      <c r="O86" s="1">
        <f t="shared" si="33"/>
        <v>6.8852112379803876E-2</v>
      </c>
      <c r="P86" s="1">
        <f t="shared" si="34"/>
        <v>0.39979034358408005</v>
      </c>
      <c r="Q86" s="16">
        <f>8.686*O86/2/'Enter data'!C$46</f>
        <v>5.9633318736336339E-3</v>
      </c>
      <c r="R86" s="16">
        <f>8.686*P86/2/'Enter data'!C$46</f>
        <v>3.4626134424384052E-2</v>
      </c>
      <c r="S86" s="16">
        <f t="shared" si="35"/>
        <v>1.8176456576547285E-3</v>
      </c>
      <c r="T86" s="16">
        <f t="shared" si="36"/>
        <v>1.0554174111309452E-2</v>
      </c>
      <c r="U86">
        <f t="shared" si="30"/>
        <v>0.46864245596388393</v>
      </c>
      <c r="V86">
        <f>U86/(2*'Enter data'!$C$46)</f>
        <v>4.6729756272182463E-3</v>
      </c>
      <c r="W86">
        <f t="shared" si="37"/>
        <v>4.0588905540942417E-2</v>
      </c>
      <c r="Y86" s="1"/>
      <c r="Z86" s="1">
        <f>4*PI()^2*D86*'Enter data'!$C$85*'Enter data'!$E$15*'Enter data'!$E$16/LN('Enter data'!$C$45)</f>
        <v>6.5292236566998186E-8</v>
      </c>
      <c r="AA86" s="16">
        <f>27.28753*'Enter data'!$E$15^0.5*'Enter data'!$E$16*D86/'Enter data'!$C$86</f>
        <v>1.4208998557365728E-5</v>
      </c>
      <c r="AB86" s="16">
        <f t="shared" si="56"/>
        <v>4.330955424703038E-6</v>
      </c>
      <c r="AC86" s="19"/>
      <c r="AD86">
        <f>2*PI()/'Enter data'!$E$11/LN($C$3/$C$2)</f>
        <v>5.1880404392247992E-18</v>
      </c>
      <c r="AE86" s="14">
        <f>8.686*AD86*'Enter data'!$C$46/2</f>
        <v>1.1298253133715425E-15</v>
      </c>
      <c r="AF86" s="16">
        <f t="shared" si="38"/>
        <v>3.4437494311495441E-16</v>
      </c>
      <c r="AH86" s="1">
        <f t="shared" si="31"/>
        <v>4.0603675296576179E-2</v>
      </c>
      <c r="AI86" s="16">
        <f t="shared" si="39"/>
        <v>1.2376150724389228E-2</v>
      </c>
      <c r="AK86" s="1">
        <f t="shared" si="40"/>
        <v>4.0596037696267063E-3</v>
      </c>
      <c r="AL86" s="1">
        <f t="shared" si="41"/>
        <v>2.3572121896878108E-2</v>
      </c>
      <c r="AM86" s="1">
        <f t="shared" si="42"/>
        <v>2.7631725666504812E-2</v>
      </c>
      <c r="AN86" s="1">
        <f t="shared" si="43"/>
        <v>2.764593466506331E-2</v>
      </c>
      <c r="AP86" s="1">
        <f t="shared" si="44"/>
        <v>5.9633318736336339E-3</v>
      </c>
      <c r="AQ86" s="1">
        <f t="shared" si="45"/>
        <v>3.4626134424384052E-2</v>
      </c>
      <c r="AR86" s="1">
        <f t="shared" si="46"/>
        <v>4.0589466298017685E-2</v>
      </c>
      <c r="AS86" s="1">
        <f t="shared" si="47"/>
        <v>4.0603675296576179E-2</v>
      </c>
      <c r="AU86" s="1">
        <f t="shared" si="48"/>
        <v>5.3608862710997959E-3</v>
      </c>
      <c r="AV86" s="1">
        <f t="shared" si="49"/>
        <v>4.3021586976920205E-2</v>
      </c>
      <c r="AW86" s="1">
        <f t="shared" si="50"/>
        <v>4.8382473248020003E-2</v>
      </c>
      <c r="AX86" s="1">
        <f t="shared" si="51"/>
        <v>4.8396682246578497E-2</v>
      </c>
    </row>
    <row r="87" spans="4:50" x14ac:dyDescent="0.25">
      <c r="D87" s="1">
        <f>D86*'Enter data'!$C$77</f>
        <v>428888.54619793582</v>
      </c>
      <c r="E87">
        <f t="shared" si="32"/>
        <v>4.2888854619793583E-4</v>
      </c>
      <c r="G87" s="1">
        <f t="shared" si="52"/>
        <v>9.9402172893402267E-5</v>
      </c>
      <c r="H87" s="1">
        <f t="shared" si="53"/>
        <v>9.9402172893402267E-5</v>
      </c>
      <c r="I87" s="1">
        <f t="shared" si="54"/>
        <v>2.3230135964793983E-7</v>
      </c>
      <c r="J87" s="1">
        <f t="shared" si="55"/>
        <v>4.0536949668742413E-8</v>
      </c>
      <c r="K87" s="1">
        <f>'Enter data'!$C$86/D87</f>
        <v>698.99851758140255</v>
      </c>
      <c r="L87" s="1"/>
      <c r="M87" s="24">
        <f>1+(2/PI())*ATAN(1.4*('Enter data'!C$32/G87)^2)</f>
        <v>1</v>
      </c>
      <c r="N87" s="24">
        <f>1+(2/PI())*ATAN(1.4*('Enter data'!D$32/H87)^2)</f>
        <v>1</v>
      </c>
      <c r="O87" s="1">
        <f t="shared" si="33"/>
        <v>7.2018519501370351E-2</v>
      </c>
      <c r="P87" s="1">
        <f t="shared" si="34"/>
        <v>0.41270988904476741</v>
      </c>
      <c r="Q87" s="16">
        <f>8.686*O87/2/'Enter data'!C$46</f>
        <v>6.2375767131932196E-3</v>
      </c>
      <c r="R87" s="16">
        <f>8.686*P87/2/'Enter data'!C$46</f>
        <v>3.57451057177205E-2</v>
      </c>
      <c r="S87" s="16">
        <f t="shared" si="35"/>
        <v>1.901236501217148E-3</v>
      </c>
      <c r="T87" s="16">
        <f t="shared" si="36"/>
        <v>1.0895240708888228E-2</v>
      </c>
      <c r="U87">
        <f t="shared" si="30"/>
        <v>0.48472840854613775</v>
      </c>
      <c r="V87">
        <f>U87/(2*'Enter data'!$C$46)</f>
        <v>4.8333735241669028E-3</v>
      </c>
      <c r="W87">
        <f t="shared" si="37"/>
        <v>4.1982102426090816E-2</v>
      </c>
      <c r="Y87" s="1"/>
      <c r="Z87" s="1">
        <f>4*PI()^2*D87*'Enter data'!$C$85*'Enter data'!$E$15*'Enter data'!$E$16/LN('Enter data'!$C$45)</f>
        <v>7.7986054497730223E-8</v>
      </c>
      <c r="AA87" s="16">
        <f>27.28753*'Enter data'!$E$15^0.5*'Enter data'!$E$16*D87/'Enter data'!$C$86</f>
        <v>1.697144705275699E-5</v>
      </c>
      <c r="AB87" s="16">
        <f t="shared" si="56"/>
        <v>5.172959964873503E-6</v>
      </c>
      <c r="AC87" s="19"/>
      <c r="AD87">
        <f>2*PI()/'Enter data'!$E$11/LN($C$3/$C$2)</f>
        <v>5.1880404392247992E-18</v>
      </c>
      <c r="AE87" s="14">
        <f>8.686*AD87*'Enter data'!$C$46/2</f>
        <v>1.1298253133715425E-15</v>
      </c>
      <c r="AF87" s="16">
        <f t="shared" si="38"/>
        <v>3.4437494311495441E-16</v>
      </c>
      <c r="AH87" s="1">
        <f t="shared" si="31"/>
        <v>4.1999653877967613E-2</v>
      </c>
      <c r="AI87" s="16">
        <f t="shared" si="39"/>
        <v>1.2801650170070596E-2</v>
      </c>
      <c r="AK87" s="1">
        <f t="shared" si="40"/>
        <v>4.2462989608501294E-3</v>
      </c>
      <c r="AL87" s="1">
        <f t="shared" si="41"/>
        <v>2.4333873913501124E-2</v>
      </c>
      <c r="AM87" s="1">
        <f t="shared" si="42"/>
        <v>2.8580172874351252E-2</v>
      </c>
      <c r="AN87" s="1">
        <f t="shared" si="43"/>
        <v>2.859714432140514E-2</v>
      </c>
      <c r="AP87" s="1">
        <f t="shared" si="44"/>
        <v>6.2375767131932196E-3</v>
      </c>
      <c r="AQ87" s="1">
        <f t="shared" si="45"/>
        <v>3.57451057177205E-2</v>
      </c>
      <c r="AR87" s="1">
        <f t="shared" si="46"/>
        <v>4.1982682430913722E-2</v>
      </c>
      <c r="AS87" s="1">
        <f t="shared" si="47"/>
        <v>4.1999653877967613E-2</v>
      </c>
      <c r="AU87" s="1">
        <f t="shared" si="48"/>
        <v>5.6074255257428747E-3</v>
      </c>
      <c r="AV87" s="1">
        <f t="shared" si="49"/>
        <v>4.441186405003901E-2</v>
      </c>
      <c r="AW87" s="1">
        <f t="shared" si="50"/>
        <v>5.0019289575781882E-2</v>
      </c>
      <c r="AX87" s="1">
        <f t="shared" si="51"/>
        <v>5.0036261022835773E-2</v>
      </c>
    </row>
    <row r="88" spans="4:50" x14ac:dyDescent="0.25">
      <c r="D88" s="1">
        <f>D87*'Enter data'!$C$77</f>
        <v>512271.09524611355</v>
      </c>
      <c r="E88">
        <f t="shared" si="32"/>
        <v>5.1227109524611353E-4</v>
      </c>
      <c r="G88" s="1">
        <f t="shared" si="52"/>
        <v>9.095324039679471E-5</v>
      </c>
      <c r="H88" s="1">
        <f t="shared" si="53"/>
        <v>9.095324039679471E-5</v>
      </c>
      <c r="I88" s="1">
        <f t="shared" si="54"/>
        <v>2.2139057230637529E-7</v>
      </c>
      <c r="J88" s="1">
        <f t="shared" si="55"/>
        <v>3.918039705489988E-8</v>
      </c>
      <c r="K88" s="1">
        <f>'Enter data'!$C$86/D88</f>
        <v>585.22227934013893</v>
      </c>
      <c r="L88" s="1"/>
      <c r="M88" s="24">
        <f>1+(2/PI())*ATAN(1.4*('Enter data'!C$32/G88)^2)</f>
        <v>1</v>
      </c>
      <c r="N88" s="24">
        <f>1+(2/PI())*ATAN(1.4*('Enter data'!D$32/H88)^2)</f>
        <v>1</v>
      </c>
      <c r="O88" s="1">
        <f t="shared" si="33"/>
        <v>7.5567806820824743E-2</v>
      </c>
      <c r="P88" s="1">
        <f t="shared" si="34"/>
        <v>0.42699924598920719</v>
      </c>
      <c r="Q88" s="16">
        <f>8.686*O88/2/'Enter data'!C$46</f>
        <v>6.5449830870751404E-3</v>
      </c>
      <c r="R88" s="16">
        <f>8.686*P88/2/'Enter data'!C$46</f>
        <v>3.6982717386778031E-2</v>
      </c>
      <c r="S88" s="16">
        <f t="shared" si="35"/>
        <v>1.9949351033513594E-3</v>
      </c>
      <c r="T88" s="16">
        <f t="shared" si="36"/>
        <v>1.127246933271703E-2</v>
      </c>
      <c r="U88">
        <f t="shared" si="30"/>
        <v>0.50256705281003189</v>
      </c>
      <c r="V88">
        <f>U88/(2*'Enter data'!$C$46)</f>
        <v>5.011248039817312E-3</v>
      </c>
      <c r="W88">
        <f t="shared" si="37"/>
        <v>4.3527099124088392E-2</v>
      </c>
      <c r="Y88" s="1"/>
      <c r="Z88" s="1">
        <f>4*PI()^2*D88*'Enter data'!$C$85*'Enter data'!$E$15*'Enter data'!$E$16/LN('Enter data'!$C$45)</f>
        <v>9.3147746438157583E-8</v>
      </c>
      <c r="AA88" s="16">
        <f>27.28753*'Enter data'!$E$15^0.5*'Enter data'!$E$16*D88/'Enter data'!$C$86</f>
        <v>2.027095814681631E-5</v>
      </c>
      <c r="AB88" s="16">
        <f t="shared" si="56"/>
        <v>6.1786631756938273E-6</v>
      </c>
      <c r="AC88" s="19"/>
      <c r="AD88">
        <f>2*PI()/'Enter data'!$E$11/LN($C$3/$C$2)</f>
        <v>5.1880404392247992E-18</v>
      </c>
      <c r="AE88" s="14">
        <f>8.686*AD88*'Enter data'!$C$46/2</f>
        <v>1.1298253133715425E-15</v>
      </c>
      <c r="AF88" s="16">
        <f t="shared" si="38"/>
        <v>3.4437494311495441E-16</v>
      </c>
      <c r="AH88" s="1">
        <f t="shared" si="31"/>
        <v>4.354797143200112E-2</v>
      </c>
      <c r="AI88" s="16">
        <f t="shared" si="39"/>
        <v>1.3273583099244427E-2</v>
      </c>
      <c r="AK88" s="1">
        <f t="shared" si="40"/>
        <v>4.4555692313403596E-3</v>
      </c>
      <c r="AL88" s="1">
        <f t="shared" si="41"/>
        <v>2.5176391670940396E-2</v>
      </c>
      <c r="AM88" s="1">
        <f t="shared" si="42"/>
        <v>2.9631960902280756E-2</v>
      </c>
      <c r="AN88" s="1">
        <f t="shared" si="43"/>
        <v>2.9652231860428702E-2</v>
      </c>
      <c r="AP88" s="1">
        <f t="shared" si="44"/>
        <v>6.5449830870751404E-3</v>
      </c>
      <c r="AQ88" s="1">
        <f t="shared" si="45"/>
        <v>3.6982717386778031E-2</v>
      </c>
      <c r="AR88" s="1">
        <f t="shared" si="46"/>
        <v>4.3527700473853174E-2</v>
      </c>
      <c r="AS88" s="1">
        <f t="shared" si="47"/>
        <v>4.354797143200112E-2</v>
      </c>
      <c r="AU88" s="1">
        <f t="shared" si="48"/>
        <v>5.8837761707033745E-3</v>
      </c>
      <c r="AV88" s="1">
        <f t="shared" si="49"/>
        <v>4.5949547044376232E-2</v>
      </c>
      <c r="AW88" s="1">
        <f t="shared" si="50"/>
        <v>5.1833323215079607E-2</v>
      </c>
      <c r="AX88" s="1">
        <f t="shared" si="51"/>
        <v>5.1853594173227553E-2</v>
      </c>
    </row>
    <row r="89" spans="4:50" x14ac:dyDescent="0.25">
      <c r="D89" s="1">
        <f>D88*'Enter data'!$C$77</f>
        <v>611864.49801702751</v>
      </c>
      <c r="E89">
        <f t="shared" si="32"/>
        <v>6.1186449801702751E-4</v>
      </c>
      <c r="G89" s="1">
        <f t="shared" si="52"/>
        <v>8.3222445726095461E-5</v>
      </c>
      <c r="H89" s="1">
        <f t="shared" si="53"/>
        <v>8.3222445726095461E-5</v>
      </c>
      <c r="I89" s="1">
        <f t="shared" si="54"/>
        <v>2.1030739610122773E-7</v>
      </c>
      <c r="J89" s="1">
        <f t="shared" si="55"/>
        <v>3.7781435886189933E-8</v>
      </c>
      <c r="K89" s="1">
        <f>'Enter data'!$C$86/D89</f>
        <v>489.96544001423189</v>
      </c>
      <c r="L89" s="1"/>
      <c r="M89" s="24">
        <f>1+(2/PI())*ATAN(1.4*('Enter data'!C$32/G89)^2)</f>
        <v>1</v>
      </c>
      <c r="N89" s="24">
        <f>1+(2/PI())*ATAN(1.4*('Enter data'!D$32/H89)^2)</f>
        <v>1</v>
      </c>
      <c r="O89" s="1">
        <f t="shared" si="33"/>
        <v>7.9550221771312851E-2</v>
      </c>
      <c r="P89" s="1">
        <f t="shared" si="34"/>
        <v>0.44281006286781277</v>
      </c>
      <c r="Q89" s="16">
        <f>8.686*O89/2/'Enter data'!C$46</f>
        <v>6.8899029622603632E-3</v>
      </c>
      <c r="R89" s="16">
        <f>8.686*P89/2/'Enter data'!C$46</f>
        <v>3.8352103814899147E-2</v>
      </c>
      <c r="S89" s="16">
        <f t="shared" si="35"/>
        <v>2.1000679597233487E-3</v>
      </c>
      <c r="T89" s="16">
        <f t="shared" si="36"/>
        <v>1.1689863391520101E-2</v>
      </c>
      <c r="U89">
        <f t="shared" si="30"/>
        <v>0.52236028463912565</v>
      </c>
      <c r="V89">
        <f>U89/(2*'Enter data'!$C$46)</f>
        <v>5.2086123390697112E-3</v>
      </c>
      <c r="W89">
        <f t="shared" si="37"/>
        <v>4.5241381743678817E-2</v>
      </c>
      <c r="Y89" s="1"/>
      <c r="Z89" s="1">
        <f>4*PI()^2*D89*'Enter data'!$C$85*'Enter data'!$E$15*'Enter data'!$E$16/LN('Enter data'!$C$45)</f>
        <v>1.1125710516307539E-7</v>
      </c>
      <c r="AA89" s="16">
        <f>27.28753*'Enter data'!$E$15^0.5*'Enter data'!$E$16*D89/'Enter data'!$C$86</f>
        <v>2.4211945092992313E-5</v>
      </c>
      <c r="AB89" s="16">
        <f t="shared" si="56"/>
        <v>7.3798906038137989E-6</v>
      </c>
      <c r="AC89" s="19"/>
      <c r="AD89">
        <f>2*PI()/'Enter data'!$E$11/LN($C$3/$C$2)</f>
        <v>5.1880404392247992E-18</v>
      </c>
      <c r="AE89" s="14">
        <f>8.686*AD89*'Enter data'!$C$46/2</f>
        <v>1.1298253133715425E-15</v>
      </c>
      <c r="AF89" s="16">
        <f t="shared" si="38"/>
        <v>3.4437494311495441E-16</v>
      </c>
      <c r="AH89" s="1">
        <f t="shared" si="31"/>
        <v>4.5266218722253636E-2</v>
      </c>
      <c r="AI89" s="16">
        <f t="shared" si="39"/>
        <v>1.3797311241847608E-2</v>
      </c>
      <c r="AK89" s="1">
        <f t="shared" si="40"/>
        <v>4.6903772304913265E-3</v>
      </c>
      <c r="AL89" s="1">
        <f t="shared" si="41"/>
        <v>2.6108616545134557E-2</v>
      </c>
      <c r="AM89" s="1">
        <f t="shared" si="42"/>
        <v>3.0798993775625883E-2</v>
      </c>
      <c r="AN89" s="1">
        <f t="shared" si="43"/>
        <v>3.0823205720720007E-2</v>
      </c>
      <c r="AP89" s="1">
        <f t="shared" si="44"/>
        <v>6.8899029622603632E-3</v>
      </c>
      <c r="AQ89" s="1">
        <f t="shared" si="45"/>
        <v>3.8352103814899147E-2</v>
      </c>
      <c r="AR89" s="1">
        <f t="shared" si="46"/>
        <v>4.5242006777159512E-2</v>
      </c>
      <c r="AS89" s="1">
        <f t="shared" si="47"/>
        <v>4.5266218722253636E-2</v>
      </c>
      <c r="AU89" s="1">
        <f t="shared" si="48"/>
        <v>6.1938505154980096E-3</v>
      </c>
      <c r="AV89" s="1">
        <f t="shared" si="49"/>
        <v>4.7650954905859591E-2</v>
      </c>
      <c r="AW89" s="1">
        <f t="shared" si="50"/>
        <v>5.3844805421357597E-2</v>
      </c>
      <c r="AX89" s="1">
        <f t="shared" si="51"/>
        <v>5.3869017366451721E-2</v>
      </c>
    </row>
    <row r="90" spans="4:50" x14ac:dyDescent="0.25">
      <c r="D90" s="1">
        <f>D89*'Enter data'!$C$77</f>
        <v>730820.39452911995</v>
      </c>
      <c r="E90">
        <f t="shared" si="32"/>
        <v>7.3082039452911996E-4</v>
      </c>
      <c r="G90" s="1">
        <f t="shared" si="52"/>
        <v>7.6148748988133752E-5</v>
      </c>
      <c r="H90" s="1">
        <f t="shared" si="53"/>
        <v>7.6148748988133752E-5</v>
      </c>
      <c r="I90" s="1">
        <f t="shared" si="54"/>
        <v>1.9911336626046686E-7</v>
      </c>
      <c r="J90" s="1">
        <f t="shared" si="55"/>
        <v>3.6345039883955505E-8</v>
      </c>
      <c r="K90" s="1">
        <f>'Enter data'!$C$86/D90</f>
        <v>410.21359043101336</v>
      </c>
      <c r="L90" s="1"/>
      <c r="M90" s="24">
        <f>1+(2/PI())*ATAN(1.4*('Enter data'!C$32/G90)^2)</f>
        <v>1</v>
      </c>
      <c r="N90" s="24">
        <f>1+(2/PI())*ATAN(1.4*('Enter data'!D$32/H90)^2)</f>
        <v>1</v>
      </c>
      <c r="O90" s="1">
        <f t="shared" si="33"/>
        <v>8.4022485854188853E-2</v>
      </c>
      <c r="P90" s="1">
        <f t="shared" si="34"/>
        <v>0.46031040420966629</v>
      </c>
      <c r="Q90" s="16">
        <f>8.686*O90/2/'Enter data'!C$46</f>
        <v>7.2772490295183413E-3</v>
      </c>
      <c r="R90" s="16">
        <f>8.686*P90/2/'Enter data'!C$46</f>
        <v>3.9867821194021345E-2</v>
      </c>
      <c r="S90" s="16">
        <f t="shared" si="35"/>
        <v>2.2181324766881068E-3</v>
      </c>
      <c r="T90" s="16">
        <f t="shared" si="36"/>
        <v>1.2151859666551251E-2</v>
      </c>
      <c r="U90">
        <f t="shared" si="30"/>
        <v>0.5443328900638551</v>
      </c>
      <c r="V90">
        <f>U90/(2*'Enter data'!$C$46)</f>
        <v>5.427707831399918E-3</v>
      </c>
      <c r="W90">
        <f t="shared" si="37"/>
        <v>4.7144418898599917E-2</v>
      </c>
      <c r="Y90" s="1"/>
      <c r="Z90" s="1">
        <f>4*PI()^2*D90*'Enter data'!$C$85*'Enter data'!$E$15*'Enter data'!$E$16/LN('Enter data'!$C$45)</f>
        <v>1.3288720256357116E-7</v>
      </c>
      <c r="AA90" s="16">
        <f>27.28753*'Enter data'!$E$15^0.5*'Enter data'!$E$16*D90/'Enter data'!$C$86</f>
        <v>2.8919120691793448E-5</v>
      </c>
      <c r="AB90" s="16">
        <f t="shared" si="56"/>
        <v>8.8146551730655472E-6</v>
      </c>
      <c r="AC90" s="19"/>
      <c r="AD90">
        <f>2*PI()/'Enter data'!$E$11/LN($C$3/$C$2)</f>
        <v>5.1880404392247992E-18</v>
      </c>
      <c r="AE90" s="14">
        <f>8.686*AD90*'Enter data'!$C$46/2</f>
        <v>1.1298253133715425E-15</v>
      </c>
      <c r="AF90" s="16">
        <f t="shared" si="38"/>
        <v>3.4437494311495441E-16</v>
      </c>
      <c r="AH90" s="1">
        <f t="shared" si="31"/>
        <v>4.7173989344232607E-2</v>
      </c>
      <c r="AI90" s="16">
        <f t="shared" si="39"/>
        <v>1.4378806798412767E-2</v>
      </c>
      <c r="AK90" s="1">
        <f t="shared" si="40"/>
        <v>4.9540673265839347E-3</v>
      </c>
      <c r="AL90" s="1">
        <f t="shared" si="41"/>
        <v>2.7140457823863161E-2</v>
      </c>
      <c r="AM90" s="1">
        <f t="shared" si="42"/>
        <v>3.2094525150447098E-2</v>
      </c>
      <c r="AN90" s="1">
        <f t="shared" si="43"/>
        <v>3.2123444271140021E-2</v>
      </c>
      <c r="AP90" s="1">
        <f t="shared" si="44"/>
        <v>7.2772490295183413E-3</v>
      </c>
      <c r="AQ90" s="1">
        <f t="shared" si="45"/>
        <v>3.9867821194021345E-2</v>
      </c>
      <c r="AR90" s="1">
        <f t="shared" si="46"/>
        <v>4.7145070223539684E-2</v>
      </c>
      <c r="AS90" s="1">
        <f t="shared" si="47"/>
        <v>4.7173989344232607E-2</v>
      </c>
      <c r="AU90" s="1">
        <f t="shared" si="48"/>
        <v>6.5420649463112509E-3</v>
      </c>
      <c r="AV90" s="1">
        <f t="shared" si="49"/>
        <v>4.9534173120723758E-2</v>
      </c>
      <c r="AW90" s="1">
        <f t="shared" si="50"/>
        <v>5.607623806703501E-2</v>
      </c>
      <c r="AX90" s="1">
        <f t="shared" si="51"/>
        <v>5.6105157187727933E-2</v>
      </c>
    </row>
    <row r="91" spans="4:50" x14ac:dyDescent="0.25">
      <c r="D91" s="1">
        <f>D90*'Enter data'!$C$77</f>
        <v>872903.15223491716</v>
      </c>
      <c r="E91">
        <f t="shared" si="32"/>
        <v>8.7290315223491712E-4</v>
      </c>
      <c r="G91" s="1">
        <f t="shared" si="52"/>
        <v>6.967629852579019E-5</v>
      </c>
      <c r="H91" s="1">
        <f t="shared" si="53"/>
        <v>6.967629852579019E-5</v>
      </c>
      <c r="I91" s="1">
        <f t="shared" si="54"/>
        <v>1.8787543249959095E-7</v>
      </c>
      <c r="J91" s="1">
        <f t="shared" si="55"/>
        <v>3.4876972773140135E-8</v>
      </c>
      <c r="K91" s="1">
        <f>'Enter data'!$C$86/D91</f>
        <v>343.4429778749606</v>
      </c>
      <c r="L91" s="1"/>
      <c r="M91" s="24">
        <f>1+(2/PI())*ATAN(1.4*('Enter data'!C$32/G91)^2)</f>
        <v>1</v>
      </c>
      <c r="N91" s="24">
        <f>1+(2/PI())*ATAN(1.4*('Enter data'!D$32/H91)^2)</f>
        <v>1</v>
      </c>
      <c r="O91" s="1">
        <f t="shared" si="33"/>
        <v>8.904836453290095E-2</v>
      </c>
      <c r="P91" s="1">
        <f t="shared" si="34"/>
        <v>0.47968612725713128</v>
      </c>
      <c r="Q91" s="16">
        <f>8.686*O91/2/'Enter data'!C$46</f>
        <v>7.7125440623337883E-3</v>
      </c>
      <c r="R91" s="16">
        <f>8.686*P91/2/'Enter data'!C$46</f>
        <v>4.1545966756009044E-2</v>
      </c>
      <c r="S91" s="16">
        <f t="shared" si="35"/>
        <v>2.3508120160734541E-3</v>
      </c>
      <c r="T91" s="16">
        <f t="shared" si="36"/>
        <v>1.2663364653745745E-2</v>
      </c>
      <c r="U91">
        <f t="shared" si="30"/>
        <v>0.56873449179003221</v>
      </c>
      <c r="V91">
        <f>U91/(2*'Enter data'!$C$46)</f>
        <v>5.6710235802835398E-3</v>
      </c>
      <c r="W91">
        <f t="shared" si="37"/>
        <v>4.9257830295513186E-2</v>
      </c>
      <c r="Y91" s="1"/>
      <c r="Z91" s="1">
        <f>4*PI()^2*D91*'Enter data'!$C$85*'Enter data'!$E$15*'Enter data'!$E$16/LN('Enter data'!$C$45)</f>
        <v>1.5872252454607606E-7</v>
      </c>
      <c r="AA91" s="16">
        <f>27.28753*'Enter data'!$E$15^0.5*'Enter data'!$E$16*D91/'Enter data'!$C$86</f>
        <v>3.4541443835859829E-5</v>
      </c>
      <c r="AB91" s="16">
        <f t="shared" si="56"/>
        <v>1.0528360106028965E-5</v>
      </c>
      <c r="AC91" s="19"/>
      <c r="AD91">
        <f>2*PI()/'Enter data'!$E$11/LN($C$3/$C$2)</f>
        <v>5.1880404392247992E-18</v>
      </c>
      <c r="AE91" s="14">
        <f>8.686*AD91*'Enter data'!$C$46/2</f>
        <v>1.1298253133715425E-15</v>
      </c>
      <c r="AF91" s="16">
        <f t="shared" si="38"/>
        <v>3.4437494311495441E-16</v>
      </c>
      <c r="AH91" s="1">
        <f t="shared" si="31"/>
        <v>4.9293052262179823E-2</v>
      </c>
      <c r="AI91" s="16">
        <f t="shared" si="39"/>
        <v>1.5024705029925573E-2</v>
      </c>
      <c r="AK91" s="1">
        <f t="shared" si="40"/>
        <v>5.2503992084184121E-3</v>
      </c>
      <c r="AL91" s="1">
        <f t="shared" si="41"/>
        <v>2.8282873874787472E-2</v>
      </c>
      <c r="AM91" s="1">
        <f t="shared" si="42"/>
        <v>3.3533273083205882E-2</v>
      </c>
      <c r="AN91" s="1">
        <f t="shared" si="43"/>
        <v>3.3567814527042876E-2</v>
      </c>
      <c r="AP91" s="1">
        <f t="shared" si="44"/>
        <v>7.7125440623337883E-3</v>
      </c>
      <c r="AQ91" s="1">
        <f t="shared" si="45"/>
        <v>4.1545966756009044E-2</v>
      </c>
      <c r="AR91" s="1">
        <f t="shared" si="46"/>
        <v>4.9258510818342829E-2</v>
      </c>
      <c r="AS91" s="1">
        <f t="shared" si="47"/>
        <v>4.9293052262179823E-2</v>
      </c>
      <c r="AU91" s="1">
        <f t="shared" si="48"/>
        <v>6.9333842984365167E-3</v>
      </c>
      <c r="AV91" s="1">
        <f t="shared" si="49"/>
        <v>5.1619201855670989E-2</v>
      </c>
      <c r="AW91" s="1">
        <f t="shared" si="50"/>
        <v>5.8552586154107508E-2</v>
      </c>
      <c r="AX91" s="1">
        <f t="shared" si="51"/>
        <v>5.8587127597944502E-2</v>
      </c>
    </row>
    <row r="92" spans="4:50" x14ac:dyDescent="0.25">
      <c r="D92" s="1">
        <f>D91*'Enter data'!$C$77</f>
        <v>1042608.9896856241</v>
      </c>
      <c r="E92">
        <f t="shared" si="32"/>
        <v>1.0426089896856242E-3</v>
      </c>
      <c r="G92" s="1">
        <f t="shared" si="52"/>
        <v>6.3753989931095942E-5</v>
      </c>
      <c r="H92" s="1">
        <f t="shared" si="53"/>
        <v>6.3753989931095942E-5</v>
      </c>
      <c r="I92" s="1">
        <f t="shared" si="54"/>
        <v>1.7666469603553219E-7</v>
      </c>
      <c r="J92" s="1">
        <f t="shared" si="55"/>
        <v>3.3383735018188889E-8</v>
      </c>
      <c r="K92" s="1">
        <f>'Enter data'!$C$86/D92</f>
        <v>287.54064176100746</v>
      </c>
      <c r="L92" s="1"/>
      <c r="M92" s="24">
        <f>1+(2/PI())*ATAN(1.4*('Enter data'!C$32/G92)^2)</f>
        <v>1</v>
      </c>
      <c r="N92" s="24">
        <f>1+(2/PI())*ATAN(1.4*('Enter data'!D$32/H92)^2)</f>
        <v>1</v>
      </c>
      <c r="O92" s="1">
        <f t="shared" si="33"/>
        <v>9.4699169530935212E-2</v>
      </c>
      <c r="P92" s="1">
        <f t="shared" si="34"/>
        <v>0.5011422475910734</v>
      </c>
      <c r="Q92" s="16">
        <f>8.686*O92/2/'Enter data'!C$46</f>
        <v>8.2019644212994233E-3</v>
      </c>
      <c r="R92" s="16">
        <f>8.686*P92/2/'Enter data'!C$46</f>
        <v>4.3404297050453962E-2</v>
      </c>
      <c r="S92" s="16">
        <f t="shared" si="35"/>
        <v>2.4999891554801949E-3</v>
      </c>
      <c r="T92" s="16">
        <f t="shared" si="36"/>
        <v>1.3229790615232249E-2</v>
      </c>
      <c r="U92">
        <f t="shared" si="30"/>
        <v>0.59584141712200855</v>
      </c>
      <c r="V92">
        <f>U92/(2*'Enter data'!$C$46)</f>
        <v>5.9413149288226321E-3</v>
      </c>
      <c r="W92">
        <f t="shared" si="37"/>
        <v>5.1605548513961916E-2</v>
      </c>
      <c r="Y92" s="1"/>
      <c r="Z92" s="1">
        <f>4*PI()^2*D92*'Enter data'!$C$85*'Enter data'!$E$15*'Enter data'!$E$16/LN('Enter data'!$C$45)</f>
        <v>1.8958063163552455E-7</v>
      </c>
      <c r="AA92" s="16">
        <f>27.28753*'Enter data'!$E$15^0.5*'Enter data'!$E$16*D92/'Enter data'!$C$86</f>
        <v>4.1256833324273077E-5</v>
      </c>
      <c r="AB92" s="16">
        <f t="shared" si="56"/>
        <v>1.2575235712104692E-5</v>
      </c>
      <c r="AC92" s="19"/>
      <c r="AD92">
        <f>2*PI()/'Enter data'!$E$11/LN($C$3/$C$2)</f>
        <v>5.1880404392247992E-18</v>
      </c>
      <c r="AE92" s="14">
        <f>8.686*AD92*'Enter data'!$C$46/2</f>
        <v>1.1298253133715425E-15</v>
      </c>
      <c r="AF92" s="16">
        <f t="shared" si="38"/>
        <v>3.4437494311495441E-16</v>
      </c>
      <c r="AH92" s="1">
        <f t="shared" si="31"/>
        <v>5.1647518305078792E-2</v>
      </c>
      <c r="AI92" s="16">
        <f t="shared" si="39"/>
        <v>1.5742355006424895E-2</v>
      </c>
      <c r="AK92" s="1">
        <f t="shared" si="40"/>
        <v>5.5835775014082163E-3</v>
      </c>
      <c r="AL92" s="1">
        <f t="shared" si="41"/>
        <v>2.9547952664364087E-2</v>
      </c>
      <c r="AM92" s="1">
        <f t="shared" si="42"/>
        <v>3.5131530165772307E-2</v>
      </c>
      <c r="AN92" s="1">
        <f t="shared" si="43"/>
        <v>3.5172786999097712E-2</v>
      </c>
      <c r="AP92" s="1">
        <f t="shared" si="44"/>
        <v>8.2019644212994233E-3</v>
      </c>
      <c r="AQ92" s="1">
        <f t="shared" si="45"/>
        <v>4.3404297050453962E-2</v>
      </c>
      <c r="AR92" s="1">
        <f t="shared" si="46"/>
        <v>5.1606261471753387E-2</v>
      </c>
      <c r="AS92" s="1">
        <f t="shared" si="47"/>
        <v>5.1647518305078792E-2</v>
      </c>
      <c r="AU92" s="1">
        <f t="shared" si="48"/>
        <v>7.3733609656376486E-3</v>
      </c>
      <c r="AV92" s="1">
        <f t="shared" si="49"/>
        <v>5.3928102913307026E-2</v>
      </c>
      <c r="AW92" s="1">
        <f t="shared" si="50"/>
        <v>6.1301463878944674E-2</v>
      </c>
      <c r="AX92" s="1">
        <f t="shared" si="51"/>
        <v>6.134272071227008E-2</v>
      </c>
    </row>
    <row r="93" spans="4:50" x14ac:dyDescent="0.25">
      <c r="D93" s="1">
        <f>D92*'Enter data'!$C$77</f>
        <v>1245308.2596736157</v>
      </c>
      <c r="E93">
        <f t="shared" si="32"/>
        <v>1.2453082596736156E-3</v>
      </c>
      <c r="G93" s="1">
        <f t="shared" si="52"/>
        <v>5.8335062541099418E-5</v>
      </c>
      <c r="H93" s="1">
        <f t="shared" si="53"/>
        <v>5.8335062541099418E-5</v>
      </c>
      <c r="I93" s="1">
        <f t="shared" si="54"/>
        <v>1.6555481235677325E-7</v>
      </c>
      <c r="J93" s="1">
        <f t="shared" si="55"/>
        <v>3.1872478705872428E-8</v>
      </c>
      <c r="K93" s="1">
        <f>'Enter data'!$C$86/D93</f>
        <v>240.73754885282216</v>
      </c>
      <c r="L93" s="1"/>
      <c r="M93" s="24">
        <f>1+(2/PI())*ATAN(1.4*('Enter data'!C$32/G93)^2)</f>
        <v>1</v>
      </c>
      <c r="N93" s="24">
        <f>1+(2/PI())*ATAN(1.4*('Enter data'!D$32/H93)^2)</f>
        <v>1</v>
      </c>
      <c r="O93" s="1">
        <f t="shared" si="33"/>
        <v>0.10105414491936716</v>
      </c>
      <c r="P93" s="1">
        <f t="shared" si="34"/>
        <v>0.52490426472282936</v>
      </c>
      <c r="Q93" s="16">
        <f>8.686*O93/2/'Enter data'!C$46</f>
        <v>8.752373493441554E-3</v>
      </c>
      <c r="R93" s="16">
        <f>8.686*P93/2/'Enter data'!C$46</f>
        <v>4.5462342755166328E-2</v>
      </c>
      <c r="S93" s="16">
        <f t="shared" si="35"/>
        <v>2.6677558807124951E-3</v>
      </c>
      <c r="T93" s="16">
        <f t="shared" si="36"/>
        <v>1.3857090573996075E-2</v>
      </c>
      <c r="U93">
        <f t="shared" si="30"/>
        <v>0.62595840964219651</v>
      </c>
      <c r="V93">
        <f>U93/(2*'Enter data'!$C$46)</f>
        <v>6.2416205674197429E-3</v>
      </c>
      <c r="W93">
        <f t="shared" si="37"/>
        <v>5.4213967254139794E-2</v>
      </c>
      <c r="Y93" s="1"/>
      <c r="Z93" s="1">
        <f>4*PI()^2*D93*'Enter data'!$C$85*'Enter data'!$E$15*'Enter data'!$E$16/LN('Enter data'!$C$45)</f>
        <v>2.2643803073388672E-7</v>
      </c>
      <c r="AA93" s="16">
        <f>27.28753*'Enter data'!$E$15^0.5*'Enter data'!$E$16*D93/'Enter data'!$C$86</f>
        <v>4.9277798115079257E-5</v>
      </c>
      <c r="AB93" s="16">
        <f t="shared" si="56"/>
        <v>1.5020055509351151E-5</v>
      </c>
      <c r="AC93" s="19"/>
      <c r="AD93">
        <f>2*PI()/'Enter data'!$E$11/LN($C$3/$C$2)</f>
        <v>5.1880404392247992E-18</v>
      </c>
      <c r="AE93" s="14">
        <f>8.686*AD93*'Enter data'!$C$46/2</f>
        <v>1.1298253133715425E-15</v>
      </c>
      <c r="AF93" s="16">
        <f t="shared" si="38"/>
        <v>3.4437494311495441E-16</v>
      </c>
      <c r="AH93" s="1">
        <f t="shared" si="31"/>
        <v>5.4263994046724093E-2</v>
      </c>
      <c r="AI93" s="16">
        <f t="shared" si="39"/>
        <v>1.6539866510218267E-2</v>
      </c>
      <c r="AK93" s="1">
        <f t="shared" si="40"/>
        <v>5.9582745317687657E-3</v>
      </c>
      <c r="AL93" s="1">
        <f t="shared" si="41"/>
        <v>3.0948989916349784E-2</v>
      </c>
      <c r="AM93" s="1">
        <f t="shared" si="42"/>
        <v>3.6907264448118551E-2</v>
      </c>
      <c r="AN93" s="1">
        <f t="shared" si="43"/>
        <v>3.6956542246234764E-2</v>
      </c>
      <c r="AP93" s="1">
        <f t="shared" si="44"/>
        <v>8.752373493441554E-3</v>
      </c>
      <c r="AQ93" s="1">
        <f t="shared" si="45"/>
        <v>4.5462342755166328E-2</v>
      </c>
      <c r="AR93" s="1">
        <f t="shared" si="46"/>
        <v>5.421471624860788E-2</v>
      </c>
      <c r="AS93" s="1">
        <f t="shared" si="47"/>
        <v>5.4263994046724093E-2</v>
      </c>
      <c r="AU93" s="1">
        <f t="shared" si="48"/>
        <v>7.8681649612666205E-3</v>
      </c>
      <c r="AV93" s="1">
        <f t="shared" si="49"/>
        <v>5.648514237958395E-2</v>
      </c>
      <c r="AW93" s="1">
        <f t="shared" si="50"/>
        <v>6.4353307340850568E-2</v>
      </c>
      <c r="AX93" s="1">
        <f t="shared" si="51"/>
        <v>6.4402585138966767E-2</v>
      </c>
    </row>
    <row r="94" spans="4:50" x14ac:dyDescent="0.25">
      <c r="D94" s="1">
        <f>D93*'Enter data'!$C$77</f>
        <v>1487415.3944125657</v>
      </c>
      <c r="E94">
        <f t="shared" si="32"/>
        <v>1.4874153944125657E-3</v>
      </c>
      <c r="G94" s="1">
        <f t="shared" si="52"/>
        <v>5.3376730230560527E-5</v>
      </c>
      <c r="H94" s="1">
        <f t="shared" si="53"/>
        <v>5.3376730230560527E-5</v>
      </c>
      <c r="I94" s="1">
        <f t="shared" si="54"/>
        <v>1.5462009713569637E-7</v>
      </c>
      <c r="J94" s="1">
        <f t="shared" si="55"/>
        <v>3.0350889981738912E-8</v>
      </c>
      <c r="K94" s="1">
        <f>'Enter data'!$C$86/D94</f>
        <v>201.55261208547523</v>
      </c>
      <c r="L94" s="1"/>
      <c r="M94" s="24">
        <f>1+(2/PI())*ATAN(1.4*('Enter data'!C$32/G94)^2)</f>
        <v>1</v>
      </c>
      <c r="N94" s="24">
        <f>1+(2/PI())*ATAN(1.4*('Enter data'!D$32/H94)^2)</f>
        <v>1</v>
      </c>
      <c r="O94" s="1">
        <f t="shared" si="33"/>
        <v>0.10820068225230489</v>
      </c>
      <c r="P94" s="1">
        <f t="shared" si="34"/>
        <v>0.55121942091536258</v>
      </c>
      <c r="Q94" s="16">
        <f>8.686*O94/2/'Enter data'!C$46</f>
        <v>9.3713403252583365E-3</v>
      </c>
      <c r="R94" s="16">
        <f>8.686*P94/2/'Enter data'!C$46</f>
        <v>4.7741517703596983E-2</v>
      </c>
      <c r="S94" s="16">
        <f t="shared" si="35"/>
        <v>2.8564192651970056E-3</v>
      </c>
      <c r="T94" s="16">
        <f t="shared" si="36"/>
        <v>1.4551791545841557E-2</v>
      </c>
      <c r="U94">
        <f t="shared" si="30"/>
        <v>0.65942010316766742</v>
      </c>
      <c r="V94">
        <f>U94/(2*'Enter data'!$C$46)</f>
        <v>6.5752772310448213E-3</v>
      </c>
      <c r="W94">
        <f t="shared" si="37"/>
        <v>5.7112068995587587E-2</v>
      </c>
      <c r="Y94" s="1"/>
      <c r="Z94" s="1">
        <f>4*PI()^2*D94*'Enter data'!$C$85*'Enter data'!$E$15*'Enter data'!$E$16/LN('Enter data'!$C$45)</f>
        <v>2.7046107674763436E-7</v>
      </c>
      <c r="AA94" s="16">
        <f>27.28753*'Enter data'!$E$15^0.5*'Enter data'!$E$16*D94/'Enter data'!$C$86</f>
        <v>5.8858162185749719E-5</v>
      </c>
      <c r="AB94" s="16">
        <f t="shared" si="56"/>
        <v>1.7940185986878114E-5</v>
      </c>
      <c r="AC94" s="19"/>
      <c r="AD94">
        <f>2*PI()/'Enter data'!$E$11/LN($C$3/$C$2)</f>
        <v>5.1880404392247992E-18</v>
      </c>
      <c r="AE94" s="14">
        <f>8.686*AD94*'Enter data'!$C$46/2</f>
        <v>1.1298253133715425E-15</v>
      </c>
      <c r="AF94" s="16">
        <f t="shared" si="38"/>
        <v>3.4437494311495441E-16</v>
      </c>
      <c r="AH94" s="1">
        <f t="shared" si="31"/>
        <v>5.7171716191042207E-2</v>
      </c>
      <c r="AI94" s="16">
        <f t="shared" si="39"/>
        <v>1.7426150997025786E-2</v>
      </c>
      <c r="AK94" s="1">
        <f t="shared" si="40"/>
        <v>6.3796430111631901E-3</v>
      </c>
      <c r="AL94" s="1">
        <f t="shared" si="41"/>
        <v>3.2500563333418386E-2</v>
      </c>
      <c r="AM94" s="1">
        <f t="shared" si="42"/>
        <v>3.8880206344581579E-2</v>
      </c>
      <c r="AN94" s="1">
        <f t="shared" si="43"/>
        <v>3.8939064506768463E-2</v>
      </c>
      <c r="AP94" s="1">
        <f t="shared" si="44"/>
        <v>9.3713403252583365E-3</v>
      </c>
      <c r="AQ94" s="1">
        <f t="shared" si="45"/>
        <v>4.7741517703596983E-2</v>
      </c>
      <c r="AR94" s="1">
        <f t="shared" si="46"/>
        <v>5.7112858028855323E-2</v>
      </c>
      <c r="AS94" s="1">
        <f t="shared" si="47"/>
        <v>5.7171716191042207E-2</v>
      </c>
      <c r="AU94" s="1">
        <f t="shared" si="48"/>
        <v>8.4246006688991123E-3</v>
      </c>
      <c r="AV94" s="1">
        <f t="shared" si="49"/>
        <v>5.93169260860111E-2</v>
      </c>
      <c r="AW94" s="1">
        <f t="shared" si="50"/>
        <v>6.7741526754910214E-2</v>
      </c>
      <c r="AX94" s="1">
        <f t="shared" si="51"/>
        <v>6.7800384917097084E-2</v>
      </c>
    </row>
    <row r="95" spans="4:50" x14ac:dyDescent="0.25">
      <c r="D95" s="1">
        <f>D94*'Enter data'!$C$77</f>
        <v>1776591.890682023</v>
      </c>
      <c r="E95">
        <f t="shared" si="32"/>
        <v>1.776591890682023E-3</v>
      </c>
      <c r="G95" s="1">
        <f t="shared" si="52"/>
        <v>4.8839843586329322E-5</v>
      </c>
      <c r="H95" s="1">
        <f t="shared" si="53"/>
        <v>4.8839843586329322E-5</v>
      </c>
      <c r="I95" s="1">
        <f t="shared" si="54"/>
        <v>1.4393340429679302E-7</v>
      </c>
      <c r="J95" s="1">
        <f t="shared" si="55"/>
        <v>2.8827040583265031E-8</v>
      </c>
      <c r="K95" s="1">
        <f>'Enter data'!$C$86/D95</f>
        <v>168.74582146432712</v>
      </c>
      <c r="L95" s="1"/>
      <c r="M95" s="24">
        <f>1+(2/PI())*ATAN(1.4*('Enter data'!C$32/G95)^2)</f>
        <v>1</v>
      </c>
      <c r="N95" s="24">
        <f>1+(2/PI())*ATAN(1.4*('Enter data'!D$32/H95)^2)</f>
        <v>1</v>
      </c>
      <c r="O95" s="1">
        <f t="shared" si="33"/>
        <v>0.11623431045584436</v>
      </c>
      <c r="P95" s="1">
        <f t="shared" si="34"/>
        <v>0.58035787446430664</v>
      </c>
      <c r="Q95" s="16">
        <f>8.686*O95/2/'Enter data'!C$46</f>
        <v>1.0067138746994797E-2</v>
      </c>
      <c r="R95" s="16">
        <f>8.686*P95/2/'Enter data'!C$46</f>
        <v>5.0265220503567729E-2</v>
      </c>
      <c r="S95" s="16">
        <f t="shared" si="35"/>
        <v>3.0685012030586432E-3</v>
      </c>
      <c r="T95" s="16">
        <f t="shared" si="36"/>
        <v>1.5321025513157683E-2</v>
      </c>
      <c r="U95">
        <f t="shared" si="30"/>
        <v>0.69659218492015096</v>
      </c>
      <c r="V95">
        <f>U95/(2*'Enter data'!$C$46)</f>
        <v>6.9459312975549761E-3</v>
      </c>
      <c r="W95">
        <f t="shared" si="37"/>
        <v>6.0331525738806811E-2</v>
      </c>
      <c r="Y95" s="1"/>
      <c r="Z95" s="1">
        <f>4*PI()^2*D95*'Enter data'!$C$85*'Enter data'!$E$15*'Enter data'!$E$16/LN('Enter data'!$C$45)</f>
        <v>3.2304288196824933E-7</v>
      </c>
      <c r="AA95" s="16">
        <f>27.28753*'Enter data'!$E$15^0.5*'Enter data'!$E$16*D95/'Enter data'!$C$86</f>
        <v>7.0301096810247498E-5</v>
      </c>
      <c r="AB95" s="16">
        <f t="shared" si="56"/>
        <v>2.1428034872667486E-5</v>
      </c>
      <c r="AC95" s="19"/>
      <c r="AD95">
        <f>2*PI()/'Enter data'!$E$11/LN($C$3/$C$2)</f>
        <v>5.1880404392247992E-18</v>
      </c>
      <c r="AE95" s="14">
        <f>8.686*AD95*'Enter data'!$C$46/2</f>
        <v>1.1298253133715425E-15</v>
      </c>
      <c r="AF95" s="16">
        <f t="shared" si="38"/>
        <v>3.4437494311495441E-16</v>
      </c>
      <c r="AH95" s="1">
        <f t="shared" si="31"/>
        <v>6.0402660347373904E-2</v>
      </c>
      <c r="AI95" s="16">
        <f t="shared" si="39"/>
        <v>1.8410954751089337E-2</v>
      </c>
      <c r="AK95" s="1">
        <f t="shared" si="40"/>
        <v>6.8533154405429246E-3</v>
      </c>
      <c r="AL95" s="1">
        <f t="shared" si="41"/>
        <v>3.4218601775229271E-2</v>
      </c>
      <c r="AM95" s="1">
        <f t="shared" si="42"/>
        <v>4.1071917215772198E-2</v>
      </c>
      <c r="AN95" s="1">
        <f t="shared" si="43"/>
        <v>4.1142218312583578E-2</v>
      </c>
      <c r="AP95" s="1">
        <f t="shared" si="44"/>
        <v>1.0067138746994797E-2</v>
      </c>
      <c r="AQ95" s="1">
        <f t="shared" si="45"/>
        <v>5.0265220503567729E-2</v>
      </c>
      <c r="AR95" s="1">
        <f t="shared" si="46"/>
        <v>6.0332359250562524E-2</v>
      </c>
      <c r="AS95" s="1">
        <f t="shared" si="47"/>
        <v>6.0402660347373904E-2</v>
      </c>
      <c r="AU95" s="1">
        <f t="shared" si="48"/>
        <v>9.0501060550796479E-3</v>
      </c>
      <c r="AV95" s="1">
        <f t="shared" si="49"/>
        <v>6.2452525866862757E-2</v>
      </c>
      <c r="AW95" s="1">
        <f t="shared" si="50"/>
        <v>7.1502631921942408E-2</v>
      </c>
      <c r="AX95" s="1">
        <f t="shared" si="51"/>
        <v>7.1572933018753782E-2</v>
      </c>
    </row>
    <row r="96" spans="4:50" x14ac:dyDescent="0.25">
      <c r="D96" s="1">
        <f>D95*'Enter data'!$C$77</f>
        <v>2121988.7584151663</v>
      </c>
      <c r="E96">
        <f t="shared" si="32"/>
        <v>2.1219887584151662E-3</v>
      </c>
      <c r="G96" s="1">
        <f t="shared" si="52"/>
        <v>4.4688580796045212E-5</v>
      </c>
      <c r="H96" s="1">
        <f t="shared" si="53"/>
        <v>4.4688580796045212E-5</v>
      </c>
      <c r="I96" s="1">
        <f t="shared" si="54"/>
        <v>1.3356387775387779E-7</v>
      </c>
      <c r="J96" s="1">
        <f t="shared" si="55"/>
        <v>2.7309212488425738E-8</v>
      </c>
      <c r="K96" s="1">
        <f>'Enter data'!$C$86/D96</f>
        <v>141.27900386423522</v>
      </c>
      <c r="L96" s="1"/>
      <c r="M96" s="24">
        <f>1+(2/PI())*ATAN(1.4*('Enter data'!C$32/G96)^2)</f>
        <v>1</v>
      </c>
      <c r="N96" s="24">
        <f>1+(2/PI())*ATAN(1.4*('Enter data'!D$32/H96)^2)</f>
        <v>1</v>
      </c>
      <c r="O96" s="1">
        <f t="shared" si="33"/>
        <v>0.12525841777990962</v>
      </c>
      <c r="P96" s="1">
        <f t="shared" si="34"/>
        <v>0.61261378397822908</v>
      </c>
      <c r="Q96" s="16">
        <f>8.686*O96/2/'Enter data'!C$46</f>
        <v>1.0848723290688103E-2</v>
      </c>
      <c r="R96" s="16">
        <f>8.686*P96/2/'Enter data'!C$46</f>
        <v>5.3058928447579007E-2</v>
      </c>
      <c r="S96" s="16">
        <f t="shared" si="35"/>
        <v>3.3067310688515311E-3</v>
      </c>
      <c r="T96" s="16">
        <f t="shared" si="36"/>
        <v>1.6172558049127959E-2</v>
      </c>
      <c r="U96">
        <f t="shared" si="30"/>
        <v>0.73787220175813872</v>
      </c>
      <c r="V96">
        <f>U96/(2*'Enter data'!$C$46)</f>
        <v>7.3575468268785539E-3</v>
      </c>
      <c r="W96">
        <f t="shared" si="37"/>
        <v>6.3906768832647884E-2</v>
      </c>
      <c r="Y96" s="1"/>
      <c r="Z96" s="1">
        <f>4*PI()^2*D96*'Enter data'!$C$85*'Enter data'!$E$15*'Enter data'!$E$16/LN('Enter data'!$C$45)</f>
        <v>3.8584740120563406E-7</v>
      </c>
      <c r="AA96" s="16">
        <f>27.28753*'Enter data'!$E$15^0.5*'Enter data'!$E$16*D96/'Enter data'!$C$86</f>
        <v>8.3968714434654374E-5</v>
      </c>
      <c r="AB96" s="16">
        <f t="shared" si="56"/>
        <v>2.5593975382423301E-5</v>
      </c>
      <c r="AC96" s="19"/>
      <c r="AD96">
        <f>2*PI()/'Enter data'!$E$11/LN($C$3/$C$2)</f>
        <v>5.1880404392247992E-18</v>
      </c>
      <c r="AE96" s="14">
        <f>8.686*AD96*'Enter data'!$C$46/2</f>
        <v>1.1298253133715425E-15</v>
      </c>
      <c r="AF96" s="16">
        <f t="shared" si="38"/>
        <v>3.4437494311495441E-16</v>
      </c>
      <c r="AH96" s="1">
        <f t="shared" si="31"/>
        <v>6.3991620452702888E-2</v>
      </c>
      <c r="AI96" s="16">
        <f t="shared" si="39"/>
        <v>1.9504883093362256E-2</v>
      </c>
      <c r="AK96" s="1">
        <f t="shared" si="40"/>
        <v>7.3853877160921233E-3</v>
      </c>
      <c r="AL96" s="1">
        <f t="shared" si="41"/>
        <v>3.612044918890233E-2</v>
      </c>
      <c r="AM96" s="1">
        <f t="shared" si="42"/>
        <v>4.3505836904994453E-2</v>
      </c>
      <c r="AN96" s="1">
        <f t="shared" si="43"/>
        <v>4.3589805619430239E-2</v>
      </c>
      <c r="AP96" s="1">
        <f t="shared" si="44"/>
        <v>1.0848723290688103E-2</v>
      </c>
      <c r="AQ96" s="1">
        <f t="shared" si="45"/>
        <v>5.3058928447579007E-2</v>
      </c>
      <c r="AR96" s="1">
        <f t="shared" si="46"/>
        <v>6.390765173826711E-2</v>
      </c>
      <c r="AS96" s="1">
        <f t="shared" si="47"/>
        <v>6.3991620452702888E-2</v>
      </c>
      <c r="AU96" s="1">
        <f t="shared" si="48"/>
        <v>9.7527310202463365E-3</v>
      </c>
      <c r="AV96" s="1">
        <f t="shared" si="49"/>
        <v>6.5923596238979004E-2</v>
      </c>
      <c r="AW96" s="1">
        <f t="shared" si="50"/>
        <v>7.5676327259225337E-2</v>
      </c>
      <c r="AX96" s="1">
        <f t="shared" si="51"/>
        <v>7.5760295973661115E-2</v>
      </c>
    </row>
    <row r="97" spans="4:50" x14ac:dyDescent="0.25">
      <c r="D97" s="1">
        <f>D96*'Enter data'!$C$77</f>
        <v>2534536.1050318242</v>
      </c>
      <c r="E97">
        <f t="shared" si="32"/>
        <v>2.5345361050318244E-3</v>
      </c>
      <c r="G97" s="1">
        <f t="shared" si="52"/>
        <v>4.0890164810512565E-5</v>
      </c>
      <c r="H97" s="1">
        <f t="shared" si="53"/>
        <v>4.0890164810512565E-5</v>
      </c>
      <c r="I97" s="1">
        <f t="shared" si="54"/>
        <v>1.2357470766114279E-7</v>
      </c>
      <c r="J97" s="1">
        <f t="shared" si="55"/>
        <v>2.5805702311436075E-8</v>
      </c>
      <c r="K97" s="1">
        <f>'Enter data'!$C$86/D97</f>
        <v>118.28296997025249</v>
      </c>
      <c r="L97" s="1"/>
      <c r="M97" s="24">
        <f>1+(2/PI())*ATAN(1.4*('Enter data'!C$32/G97)^2)</f>
        <v>1</v>
      </c>
      <c r="N97" s="24">
        <f>1+(2/PI())*ATAN(1.4*('Enter data'!D$32/H97)^2)</f>
        <v>1</v>
      </c>
      <c r="O97" s="1">
        <f t="shared" si="33"/>
        <v>0.13538369069725611</v>
      </c>
      <c r="P97" s="1">
        <f t="shared" si="34"/>
        <v>0.6483063238540856</v>
      </c>
      <c r="Q97" s="16">
        <f>8.686*O97/2/'Enter data'!C$46</f>
        <v>1.1725680592799329E-2</v>
      </c>
      <c r="R97" s="16">
        <f>8.686*P97/2/'Enter data'!C$46</f>
        <v>5.615028546388267E-2</v>
      </c>
      <c r="S97" s="16">
        <f t="shared" si="35"/>
        <v>3.5740309049010388E-3</v>
      </c>
      <c r="T97" s="16">
        <f t="shared" si="36"/>
        <v>1.7114815125543362E-2</v>
      </c>
      <c r="U97">
        <f t="shared" si="30"/>
        <v>0.78369001455134168</v>
      </c>
      <c r="V97">
        <f>U97/(2*'Enter data'!$C$46)</f>
        <v>7.8144100917202398E-3</v>
      </c>
      <c r="W97">
        <f t="shared" si="37"/>
        <v>6.7875028327470985E-2</v>
      </c>
      <c r="Y97" s="1"/>
      <c r="Z97" s="1">
        <f>4*PI()^2*D97*'Enter data'!$C$85*'Enter data'!$E$15*'Enter data'!$E$16/LN('Enter data'!$C$45)</f>
        <v>4.6086208775147753E-7</v>
      </c>
      <c r="AA97" s="16">
        <f>27.28753*'Enter data'!$E$15^0.5*'Enter data'!$E$16*D97/'Enter data'!$C$86</f>
        <v>1.0029352775020683E-4</v>
      </c>
      <c r="AB97" s="16">
        <f t="shared" si="56"/>
        <v>3.0569838987505126E-5</v>
      </c>
      <c r="AC97" s="19"/>
      <c r="AD97">
        <f>2*PI()/'Enter data'!$E$11/LN($C$3/$C$2)</f>
        <v>5.1880404392247992E-18</v>
      </c>
      <c r="AE97" s="14">
        <f>8.686*AD97*'Enter data'!$C$46/2</f>
        <v>1.1298253133715425E-15</v>
      </c>
      <c r="AF97" s="16">
        <f t="shared" si="38"/>
        <v>3.4437494311495441E-16</v>
      </c>
      <c r="AH97" s="1">
        <f t="shared" si="31"/>
        <v>6.7976259584433332E-2</v>
      </c>
      <c r="AI97" s="16">
        <f t="shared" si="39"/>
        <v>2.071941586943225E-2</v>
      </c>
      <c r="AK97" s="1">
        <f t="shared" si="40"/>
        <v>7.9823860460346632E-3</v>
      </c>
      <c r="AL97" s="1">
        <f t="shared" si="41"/>
        <v>3.8224924482678224E-2</v>
      </c>
      <c r="AM97" s="1">
        <f t="shared" si="42"/>
        <v>4.6207310528712887E-2</v>
      </c>
      <c r="AN97" s="1">
        <f t="shared" si="43"/>
        <v>4.6307604056464224E-2</v>
      </c>
      <c r="AP97" s="1">
        <f t="shared" si="44"/>
        <v>1.1725680592799329E-2</v>
      </c>
      <c r="AQ97" s="1">
        <f t="shared" si="45"/>
        <v>5.615028546388267E-2</v>
      </c>
      <c r="AR97" s="1">
        <f t="shared" si="46"/>
        <v>6.7875966056682002E-2</v>
      </c>
      <c r="AS97" s="1">
        <f t="shared" si="47"/>
        <v>6.7976259584433332E-2</v>
      </c>
      <c r="AU97" s="1">
        <f t="shared" si="48"/>
        <v>1.0541093710911777E-2</v>
      </c>
      <c r="AV97" s="1">
        <f t="shared" si="49"/>
        <v>6.9764483677455649E-2</v>
      </c>
      <c r="AW97" s="1">
        <f t="shared" si="50"/>
        <v>8.0305577388367425E-2</v>
      </c>
      <c r="AX97" s="1">
        <f t="shared" si="51"/>
        <v>8.0405870916118755E-2</v>
      </c>
    </row>
    <row r="98" spans="4:50" x14ac:dyDescent="0.25">
      <c r="D98" s="1">
        <f>D97*'Enter data'!$C$77</f>
        <v>3027289.0194327137</v>
      </c>
      <c r="E98">
        <f t="shared" si="32"/>
        <v>3.0272890194327135E-3</v>
      </c>
      <c r="G98" s="1">
        <f t="shared" si="52"/>
        <v>3.7414604546556707E-5</v>
      </c>
      <c r="H98" s="1">
        <f t="shared" si="53"/>
        <v>3.7414604546556707E-5</v>
      </c>
      <c r="I98" s="1">
        <f t="shared" si="54"/>
        <v>1.1402104326265856E-7</v>
      </c>
      <c r="J98" s="1">
        <f t="shared" si="55"/>
        <v>2.4324614544047386E-8</v>
      </c>
      <c r="K98" s="1">
        <f>'Enter data'!$C$86/D98</f>
        <v>99.030008722516484</v>
      </c>
      <c r="L98" s="1"/>
      <c r="M98" s="24">
        <f>1+(2/PI())*ATAN(1.4*('Enter data'!C$32/G98)^2)</f>
        <v>1</v>
      </c>
      <c r="N98" s="24">
        <f>1+(2/PI())*ATAN(1.4*('Enter data'!D$32/H98)^2)</f>
        <v>1</v>
      </c>
      <c r="O98" s="1">
        <f t="shared" si="33"/>
        <v>0.14672730156889391</v>
      </c>
      <c r="P98" s="1">
        <f t="shared" si="34"/>
        <v>0.68778068280198479</v>
      </c>
      <c r="Q98" s="16">
        <f>8.686*O98/2/'Enter data'!C$46</f>
        <v>1.2708159037320907E-2</v>
      </c>
      <c r="R98" s="16">
        <f>8.686*P98/2/'Enter data'!C$46</f>
        <v>5.9569188599442983E-2</v>
      </c>
      <c r="S98" s="16">
        <f t="shared" si="35"/>
        <v>3.8734939762621635E-3</v>
      </c>
      <c r="T98" s="16">
        <f t="shared" si="36"/>
        <v>1.8156909473129413E-2</v>
      </c>
      <c r="U98">
        <f t="shared" si="30"/>
        <v>0.8345079843708787</v>
      </c>
      <c r="V98">
        <f>U98/(2*'Enter data'!$C$46)</f>
        <v>8.32113143411972E-3</v>
      </c>
      <c r="W98">
        <f t="shared" si="37"/>
        <v>7.2276349100991788E-2</v>
      </c>
      <c r="Y98" s="1"/>
      <c r="Z98" s="1">
        <f>4*PI()^2*D98*'Enter data'!$C$85*'Enter data'!$E$15*'Enter data'!$E$16/LN('Enter data'!$C$45)</f>
        <v>5.5046078647412512E-7</v>
      </c>
      <c r="AA98" s="16">
        <f>27.28753*'Enter data'!$E$15^0.5*'Enter data'!$E$16*D98/'Enter data'!$C$86</f>
        <v>1.1979213658688795E-4</v>
      </c>
      <c r="AB98" s="16">
        <f t="shared" si="56"/>
        <v>3.6513087230824175E-5</v>
      </c>
      <c r="AC98" s="19"/>
      <c r="AD98">
        <f>2*PI()/'Enter data'!$E$11/LN($C$3/$C$2)</f>
        <v>5.1880404392247992E-18</v>
      </c>
      <c r="AE98" s="14">
        <f>8.686*AD98*'Enter data'!$C$46/2</f>
        <v>1.1298253133715425E-15</v>
      </c>
      <c r="AF98" s="16">
        <f t="shared" si="38"/>
        <v>3.4437494311495441E-16</v>
      </c>
      <c r="AH98" s="1">
        <f t="shared" si="31"/>
        <v>7.2397139773351896E-2</v>
      </c>
      <c r="AI98" s="16">
        <f t="shared" si="39"/>
        <v>2.2066916536622742E-2</v>
      </c>
      <c r="AK98" s="1">
        <f t="shared" si="40"/>
        <v>8.6512190544056171E-3</v>
      </c>
      <c r="AL98" s="1">
        <f t="shared" si="41"/>
        <v>4.0552380400145402E-2</v>
      </c>
      <c r="AM98" s="1">
        <f t="shared" si="42"/>
        <v>4.9203599454551022E-2</v>
      </c>
      <c r="AN98" s="1">
        <f t="shared" si="43"/>
        <v>4.9323391591139042E-2</v>
      </c>
      <c r="AP98" s="1">
        <f t="shared" si="44"/>
        <v>1.2708159037320907E-2</v>
      </c>
      <c r="AQ98" s="1">
        <f t="shared" si="45"/>
        <v>5.9569188599442983E-2</v>
      </c>
      <c r="AR98" s="1">
        <f t="shared" si="46"/>
        <v>7.2277347636763883E-2</v>
      </c>
      <c r="AS98" s="1">
        <f t="shared" si="47"/>
        <v>7.2397139773351896E-2</v>
      </c>
      <c r="AU98" s="1">
        <f t="shared" si="48"/>
        <v>1.1424317270575562E-2</v>
      </c>
      <c r="AV98" s="1">
        <f t="shared" si="49"/>
        <v>7.401233406726393E-2</v>
      </c>
      <c r="AW98" s="1">
        <f t="shared" si="50"/>
        <v>8.5436651337839495E-2</v>
      </c>
      <c r="AX98" s="1">
        <f t="shared" si="51"/>
        <v>8.5556443474427507E-2</v>
      </c>
    </row>
    <row r="99" spans="4:50" x14ac:dyDescent="0.25">
      <c r="D99" s="1">
        <f>D98*'Enter data'!$C$77</f>
        <v>3615840.7011774685</v>
      </c>
      <c r="E99">
        <f t="shared" si="32"/>
        <v>3.6158407011774685E-3</v>
      </c>
      <c r="G99" s="1">
        <f t="shared" si="52"/>
        <v>3.4234458086980618E-5</v>
      </c>
      <c r="H99" s="1">
        <f t="shared" si="53"/>
        <v>3.4234458086980618E-5</v>
      </c>
      <c r="I99" s="1">
        <f t="shared" si="54"/>
        <v>1.0494822239696492E-7</v>
      </c>
      <c r="J99" s="1">
        <f t="shared" si="55"/>
        <v>2.2873654718249038E-8</v>
      </c>
      <c r="K99" s="1">
        <f>'Enter data'!$C$86/D99</f>
        <v>82.910858850163137</v>
      </c>
      <c r="L99" s="1"/>
      <c r="M99" s="24">
        <f>1+(2/PI())*ATAN(1.4*('Enter data'!C$32/G99)^2)</f>
        <v>1</v>
      </c>
      <c r="N99" s="24">
        <f>1+(2/PI())*ATAN(1.4*('Enter data'!D$32/H99)^2)</f>
        <v>1</v>
      </c>
      <c r="O99" s="1">
        <f t="shared" si="33"/>
        <v>0.15941194255505398</v>
      </c>
      <c r="P99" s="1">
        <f t="shared" si="34"/>
        <v>0.73140913448573164</v>
      </c>
      <c r="Q99" s="16">
        <f>8.686*O99/2/'Enter data'!C$46</f>
        <v>1.3806785082097943E-2</v>
      </c>
      <c r="R99" s="16">
        <f>8.686*P99/2/'Enter data'!C$46</f>
        <v>6.3347880748898189E-2</v>
      </c>
      <c r="S99" s="16">
        <f t="shared" si="35"/>
        <v>4.2083592666721358E-3</v>
      </c>
      <c r="T99" s="16">
        <f t="shared" si="36"/>
        <v>1.9308668845677331E-2</v>
      </c>
      <c r="U99">
        <f t="shared" si="30"/>
        <v>0.89082107704078561</v>
      </c>
      <c r="V99">
        <f>U99/(2*'Enter data'!$C$46)</f>
        <v>8.8826463079663982E-3</v>
      </c>
      <c r="W99">
        <f t="shared" si="37"/>
        <v>7.7153599913439175E-2</v>
      </c>
      <c r="Y99" s="1"/>
      <c r="Z99" s="1">
        <f>4*PI()^2*D99*'Enter data'!$C$85*'Enter data'!$E$15*'Enter data'!$E$16/LN('Enter data'!$C$45)</f>
        <v>6.5747885430122568E-7</v>
      </c>
      <c r="AA99" s="16">
        <f>27.28753*'Enter data'!$E$15^0.5*'Enter data'!$E$16*D99/'Enter data'!$C$86</f>
        <v>1.4308157575025599E-4</v>
      </c>
      <c r="AB99" s="16">
        <f t="shared" si="56"/>
        <v>4.3611794608100455E-5</v>
      </c>
      <c r="AC99" s="19"/>
      <c r="AD99">
        <f>2*PI()/'Enter data'!$E$11/LN($C$3/$C$2)</f>
        <v>5.1880404392247992E-18</v>
      </c>
      <c r="AE99" s="14">
        <f>8.686*AD99*'Enter data'!$C$46/2</f>
        <v>1.1298253133715425E-15</v>
      </c>
      <c r="AF99" s="16">
        <f t="shared" si="38"/>
        <v>3.4437494311495441E-16</v>
      </c>
      <c r="AH99" s="1">
        <f t="shared" si="31"/>
        <v>7.7297747406747511E-2</v>
      </c>
      <c r="AI99" s="16">
        <f t="shared" si="39"/>
        <v>2.3560639906957909E-2</v>
      </c>
      <c r="AK99" s="1">
        <f t="shared" si="40"/>
        <v>9.3991208192740778E-3</v>
      </c>
      <c r="AL99" s="1">
        <f t="shared" si="41"/>
        <v>4.3124766646500674E-2</v>
      </c>
      <c r="AM99" s="1">
        <f t="shared" si="42"/>
        <v>5.252388746577475E-2</v>
      </c>
      <c r="AN99" s="1">
        <f t="shared" si="43"/>
        <v>5.2666969041526138E-2</v>
      </c>
      <c r="AP99" s="1">
        <f t="shared" si="44"/>
        <v>1.3806785082097943E-2</v>
      </c>
      <c r="AQ99" s="1">
        <f t="shared" si="45"/>
        <v>6.3347880748898189E-2</v>
      </c>
      <c r="AR99" s="1">
        <f t="shared" si="46"/>
        <v>7.715466583099613E-2</v>
      </c>
      <c r="AS99" s="1">
        <f t="shared" si="47"/>
        <v>7.7297747406747511E-2</v>
      </c>
      <c r="AU99" s="1">
        <f t="shared" si="48"/>
        <v>1.2411954619178997E-2</v>
      </c>
      <c r="AV99" s="1">
        <f t="shared" si="49"/>
        <v>7.8707207915276037E-2</v>
      </c>
      <c r="AW99" s="1">
        <f t="shared" si="50"/>
        <v>9.1119162534455039E-2</v>
      </c>
      <c r="AX99" s="1">
        <f t="shared" si="51"/>
        <v>9.126224411020642E-2</v>
      </c>
    </row>
    <row r="100" spans="4:50" x14ac:dyDescent="0.25">
      <c r="D100" s="1">
        <f>D99*'Enter data'!$C$77</f>
        <v>4318815.908347453</v>
      </c>
      <c r="E100">
        <f t="shared" si="32"/>
        <v>4.318815908347453E-3</v>
      </c>
      <c r="G100" s="1">
        <f t="shared" si="52"/>
        <v>3.1324616007924426E-5</v>
      </c>
      <c r="H100" s="1">
        <f t="shared" si="53"/>
        <v>3.1324616007924426E-5</v>
      </c>
      <c r="I100" s="1">
        <f t="shared" si="54"/>
        <v>9.6390467963873471E-8</v>
      </c>
      <c r="J100" s="1">
        <f t="shared" si="55"/>
        <v>2.1459934697590458E-8</v>
      </c>
      <c r="K100" s="1">
        <f>'Enter data'!$C$86/D100</f>
        <v>69.415428756886342</v>
      </c>
      <c r="L100" s="1"/>
      <c r="M100" s="24">
        <f>1+(2/PI())*ATAN(1.4*('Enter data'!C$32/G100)^2)</f>
        <v>1</v>
      </c>
      <c r="N100" s="24">
        <f>1+(2/PI())*ATAN(1.4*('Enter data'!D$32/H100)^2)</f>
        <v>1</v>
      </c>
      <c r="O100" s="1">
        <f t="shared" si="33"/>
        <v>0.17356487994508232</v>
      </c>
      <c r="P100" s="1">
        <f t="shared" si="34"/>
        <v>0.77959230704828109</v>
      </c>
      <c r="Q100" s="16">
        <f>8.686*O100/2/'Enter data'!C$46</f>
        <v>1.5032581353647826E-2</v>
      </c>
      <c r="R100" s="16">
        <f>8.686*P100/2/'Enter data'!C$46</f>
        <v>6.7521060609089703E-2</v>
      </c>
      <c r="S100" s="16">
        <f t="shared" si="35"/>
        <v>4.5819865135478619E-3</v>
      </c>
      <c r="T100" s="16">
        <f t="shared" si="36"/>
        <v>2.0580669534592082E-2</v>
      </c>
      <c r="U100">
        <f t="shared" si="30"/>
        <v>0.95315718699336338</v>
      </c>
      <c r="V100">
        <f>U100/(2*'Enter data'!$C$46)</f>
        <v>9.5042185082589836E-3</v>
      </c>
      <c r="W100">
        <f t="shared" si="37"/>
        <v>8.2552501456516533E-2</v>
      </c>
      <c r="Y100" s="1"/>
      <c r="Z100" s="1">
        <f>4*PI()^2*D100*'Enter data'!$C$85*'Enter data'!$E$15*'Enter data'!$E$16/LN('Enter data'!$C$45)</f>
        <v>7.8530288528294988E-7</v>
      </c>
      <c r="AA100" s="16">
        <f>27.28753*'Enter data'!$E$15^0.5*'Enter data'!$E$16*D100/'Enter data'!$C$86</f>
        <v>1.7089884112992E-4</v>
      </c>
      <c r="AB100" s="16">
        <f t="shared" si="56"/>
        <v>5.209060019809802E-5</v>
      </c>
      <c r="AC100" s="19"/>
      <c r="AD100">
        <f>2*PI()/'Enter data'!$E$11/LN($C$3/$C$2)</f>
        <v>5.1880404392247992E-18</v>
      </c>
      <c r="AE100" s="14">
        <f>8.686*AD100*'Enter data'!$C$46/2</f>
        <v>1.1298253133715425E-15</v>
      </c>
      <c r="AF100" s="16">
        <f t="shared" si="38"/>
        <v>3.4437494311495441E-16</v>
      </c>
      <c r="AH100" s="1">
        <f t="shared" si="31"/>
        <v>8.2724540803868568E-2</v>
      </c>
      <c r="AI100" s="16">
        <f t="shared" si="39"/>
        <v>2.5214746648338383E-2</v>
      </c>
      <c r="AK100" s="1">
        <f t="shared" si="40"/>
        <v>1.0233595114890647E-2</v>
      </c>
      <c r="AL100" s="1">
        <f t="shared" si="41"/>
        <v>4.5965704741304514E-2</v>
      </c>
      <c r="AM100" s="1">
        <f t="shared" si="42"/>
        <v>5.6199299856195165E-2</v>
      </c>
      <c r="AN100" s="1">
        <f t="shared" si="43"/>
        <v>5.6370198697326214E-2</v>
      </c>
      <c r="AP100" s="1">
        <f t="shared" si="44"/>
        <v>1.5032581353647826E-2</v>
      </c>
      <c r="AQ100" s="1">
        <f t="shared" si="45"/>
        <v>6.7521060609089703E-2</v>
      </c>
      <c r="AR100" s="1">
        <f t="shared" si="46"/>
        <v>8.2553641962737526E-2</v>
      </c>
      <c r="AS100" s="1">
        <f t="shared" si="47"/>
        <v>8.2724540803868568E-2</v>
      </c>
      <c r="AU100" s="1">
        <f t="shared" si="48"/>
        <v>1.3513914822395555E-2</v>
      </c>
      <c r="AV100" s="1">
        <f t="shared" si="49"/>
        <v>8.389221696436959E-2</v>
      </c>
      <c r="AW100" s="1">
        <f t="shared" si="50"/>
        <v>9.7406131786765146E-2</v>
      </c>
      <c r="AX100" s="1">
        <f t="shared" si="51"/>
        <v>9.7577030627896189E-2</v>
      </c>
    </row>
    <row r="101" spans="4:50" x14ac:dyDescent="0.25">
      <c r="D101" s="1">
        <f>D100*'Enter data'!$C$77</f>
        <v>5158460.3392846128</v>
      </c>
      <c r="E101">
        <f t="shared" si="32"/>
        <v>5.1584603392846127E-3</v>
      </c>
      <c r="G101" s="1">
        <f t="shared" si="52"/>
        <v>2.8662103122849731E-5</v>
      </c>
      <c r="H101" s="1">
        <f t="shared" si="53"/>
        <v>2.8662103122849731E-5</v>
      </c>
      <c r="I101" s="1">
        <f t="shared" si="54"/>
        <v>8.8370171665839512E-8</v>
      </c>
      <c r="J101" s="1">
        <f t="shared" si="55"/>
        <v>2.0089802282946538E-8</v>
      </c>
      <c r="K101" s="1">
        <f>'Enter data'!$C$86/D101</f>
        <v>58.11665463760761</v>
      </c>
      <c r="L101" s="1"/>
      <c r="M101" s="24">
        <f>1+(2/PI())*ATAN(1.4*('Enter data'!C$32/G101)^2)</f>
        <v>1</v>
      </c>
      <c r="N101" s="24">
        <f>1+(2/PI())*ATAN(1.4*('Enter data'!D$32/H101)^2)</f>
        <v>1</v>
      </c>
      <c r="O101" s="1">
        <f t="shared" si="33"/>
        <v>0.18931727396957373</v>
      </c>
      <c r="P101" s="1">
        <f t="shared" si="34"/>
        <v>0.83276080891057136</v>
      </c>
      <c r="Q101" s="16">
        <f>8.686*O101/2/'Enter data'!C$46</f>
        <v>1.6396907735591045E-2</v>
      </c>
      <c r="R101" s="16">
        <f>8.686*P101/2/'Enter data'!C$46</f>
        <v>7.2126023490689653E-2</v>
      </c>
      <c r="S101" s="16">
        <f t="shared" si="35"/>
        <v>4.9978382515212891E-3</v>
      </c>
      <c r="T101" s="16">
        <f t="shared" si="36"/>
        <v>2.1984279288798356E-2</v>
      </c>
      <c r="U101">
        <f t="shared" si="30"/>
        <v>1.022078082880145</v>
      </c>
      <c r="V101">
        <f>U101/(2*'Enter data'!$C$46)</f>
        <v>1.0191449600078365E-2</v>
      </c>
      <c r="W101">
        <f t="shared" si="37"/>
        <v>8.8521708252328662E-2</v>
      </c>
      <c r="Y101" s="1"/>
      <c r="Z101" s="1">
        <f>4*PI()^2*D101*'Enter data'!$C$85*'Enter data'!$E$15*'Enter data'!$E$16/LN('Enter data'!$C$45)</f>
        <v>9.3797787959152045E-7</v>
      </c>
      <c r="AA101" s="16">
        <f>27.28753*'Enter data'!$E$15^0.5*'Enter data'!$E$16*D101/'Enter data'!$C$86</f>
        <v>2.0412421198469632E-4</v>
      </c>
      <c r="AB101" s="16">
        <f t="shared" si="56"/>
        <v>6.2217816381582633E-5</v>
      </c>
      <c r="AC101" s="19"/>
      <c r="AD101">
        <f>2*PI()/'Enter data'!$E$11/LN($C$3/$C$2)</f>
        <v>5.1880404392247992E-18</v>
      </c>
      <c r="AE101" s="14">
        <f>8.686*AD101*'Enter data'!$C$46/2</f>
        <v>1.1298253133715425E-15</v>
      </c>
      <c r="AF101" s="16">
        <f t="shared" si="38"/>
        <v>3.4437494311495441E-16</v>
      </c>
      <c r="AH101" s="1">
        <f t="shared" si="31"/>
        <v>8.8727055438266519E-2</v>
      </c>
      <c r="AI101" s="16">
        <f t="shared" si="39"/>
        <v>2.704433535670157E-2</v>
      </c>
      <c r="AK101" s="1">
        <f t="shared" si="40"/>
        <v>1.1162375306988695E-2</v>
      </c>
      <c r="AL101" s="1">
        <f t="shared" si="41"/>
        <v>4.9100583877545373E-2</v>
      </c>
      <c r="AM101" s="1">
        <f t="shared" si="42"/>
        <v>6.0262959184534066E-2</v>
      </c>
      <c r="AN101" s="1">
        <f t="shared" si="43"/>
        <v>6.0467083396519891E-2</v>
      </c>
      <c r="AP101" s="1">
        <f t="shared" si="44"/>
        <v>1.6396907735591045E-2</v>
      </c>
      <c r="AQ101" s="1">
        <f t="shared" si="45"/>
        <v>7.2126023490689653E-2</v>
      </c>
      <c r="AR101" s="1">
        <f t="shared" si="46"/>
        <v>8.8522931226280702E-2</v>
      </c>
      <c r="AS101" s="1">
        <f t="shared" si="47"/>
        <v>8.8727055438266519E-2</v>
      </c>
      <c r="AU101" s="1">
        <f t="shared" si="48"/>
        <v>1.474041013160296E-2</v>
      </c>
      <c r="AV101" s="1">
        <f t="shared" si="49"/>
        <v>8.9613699146242259E-2</v>
      </c>
      <c r="AW101" s="1">
        <f t="shared" si="50"/>
        <v>0.10435410927784522</v>
      </c>
      <c r="AX101" s="1">
        <f t="shared" si="51"/>
        <v>0.10455823348983104</v>
      </c>
    </row>
    <row r="102" spans="4:50" x14ac:dyDescent="0.25">
      <c r="D102" s="1">
        <f>D101*'Enter data'!$C$77</f>
        <v>6161344.5992316529</v>
      </c>
      <c r="E102">
        <f t="shared" si="32"/>
        <v>6.161344599231653E-3</v>
      </c>
      <c r="G102" s="1">
        <f t="shared" si="52"/>
        <v>2.6225897077782122E-5</v>
      </c>
      <c r="H102" s="1">
        <f t="shared" si="53"/>
        <v>2.6225897077782122E-5</v>
      </c>
      <c r="I102" s="1">
        <f t="shared" si="54"/>
        <v>8.0897835703140457E-8</v>
      </c>
      <c r="J102" s="1">
        <f t="shared" si="55"/>
        <v>1.8768705963026512E-8</v>
      </c>
      <c r="K102" s="1">
        <f>'Enter data'!$C$86/D102</f>
        <v>48.656986015258006</v>
      </c>
      <c r="L102" s="1"/>
      <c r="M102" s="24">
        <f>1+(2/PI())*ATAN(1.4*('Enter data'!C$32/G102)^2)</f>
        <v>1</v>
      </c>
      <c r="N102" s="24">
        <f>1+(2/PI())*ATAN(1.4*('Enter data'!D$32/H102)^2)</f>
        <v>1</v>
      </c>
      <c r="O102" s="1">
        <f t="shared" si="33"/>
        <v>0.20680404926272389</v>
      </c>
      <c r="P102" s="1">
        <f t="shared" si="34"/>
        <v>0.8913773828071756</v>
      </c>
      <c r="Q102" s="16">
        <f>8.686*O102/2/'Enter data'!C$46</f>
        <v>1.7911450149300626E-2</v>
      </c>
      <c r="R102" s="16">
        <f>8.686*P102/2/'Enter data'!C$46</f>
        <v>7.7202847880806016E-2</v>
      </c>
      <c r="S102" s="16">
        <f t="shared" si="35"/>
        <v>5.4594763927397665E-3</v>
      </c>
      <c r="T102" s="16">
        <f t="shared" si="36"/>
        <v>2.3531714179714096E-2</v>
      </c>
      <c r="U102">
        <f t="shared" si="30"/>
        <v>1.0981814320698995</v>
      </c>
      <c r="V102">
        <f>U102/(2*'Enter data'!$C$46)</f>
        <v>1.0950299105469335E-2</v>
      </c>
      <c r="W102">
        <f t="shared" si="37"/>
        <v>9.5112983994213973E-2</v>
      </c>
      <c r="Y102" s="1"/>
      <c r="Z102" s="1">
        <f>4*PI()^2*D102*'Enter data'!$C$85*'Enter data'!$E$15*'Enter data'!$E$16/LN('Enter data'!$C$45)</f>
        <v>1.1203352478273481E-6</v>
      </c>
      <c r="AA102" s="16">
        <f>27.28753*'Enter data'!$E$15^0.5*'Enter data'!$E$16*D102/'Enter data'!$C$86</f>
        <v>2.4380910743974891E-4</v>
      </c>
      <c r="AB102" s="16">
        <f t="shared" si="56"/>
        <v>7.4313919604897865E-5</v>
      </c>
      <c r="AC102" s="19"/>
      <c r="AD102">
        <f>2*PI()/'Enter data'!$E$11/LN($C$3/$C$2)</f>
        <v>5.1880404392247992E-18</v>
      </c>
      <c r="AE102" s="14">
        <f>8.686*AD102*'Enter data'!$C$46/2</f>
        <v>1.1298253133715425E-15</v>
      </c>
      <c r="AF102" s="16">
        <f t="shared" si="38"/>
        <v>3.4437494311495441E-16</v>
      </c>
      <c r="AH102" s="1">
        <f t="shared" si="31"/>
        <v>9.5358107137547513E-2</v>
      </c>
      <c r="AI102" s="16">
        <f t="shared" si="39"/>
        <v>2.9065504492059104E-2</v>
      </c>
      <c r="AK102" s="1">
        <f t="shared" si="40"/>
        <v>1.2193416715088043E-2</v>
      </c>
      <c r="AL102" s="1">
        <f t="shared" si="41"/>
        <v>5.2556687926185383E-2</v>
      </c>
      <c r="AM102" s="1">
        <f t="shared" si="42"/>
        <v>6.4750104641273426E-2</v>
      </c>
      <c r="AN102" s="1">
        <f t="shared" si="43"/>
        <v>6.4993913748714299E-2</v>
      </c>
      <c r="AP102" s="1">
        <f t="shared" si="44"/>
        <v>1.7911450149300626E-2</v>
      </c>
      <c r="AQ102" s="1">
        <f t="shared" si="45"/>
        <v>7.7202847880806016E-2</v>
      </c>
      <c r="AR102" s="1">
        <f t="shared" si="46"/>
        <v>9.5114298030106639E-2</v>
      </c>
      <c r="AS102" s="1">
        <f t="shared" si="47"/>
        <v>9.5358107137547513E-2</v>
      </c>
      <c r="AU102" s="1">
        <f t="shared" si="48"/>
        <v>1.610194589796753E-2</v>
      </c>
      <c r="AV102" s="1">
        <f t="shared" si="49"/>
        <v>9.5921450377986231E-2</v>
      </c>
      <c r="AW102" s="1">
        <f t="shared" si="50"/>
        <v>0.11202339627595376</v>
      </c>
      <c r="AX102" s="1">
        <f t="shared" si="51"/>
        <v>0.11226720538339463</v>
      </c>
    </row>
    <row r="103" spans="4:50" x14ac:dyDescent="0.25">
      <c r="D103" s="1">
        <f>D102*'Enter data'!$C$77</f>
        <v>7359205.028945853</v>
      </c>
      <c r="E103">
        <f t="shared" si="32"/>
        <v>7.3592050289458533E-3</v>
      </c>
      <c r="G103" s="1">
        <f t="shared" si="52"/>
        <v>2.3996762365497918E-5</v>
      </c>
      <c r="H103" s="1">
        <f t="shared" si="53"/>
        <v>2.3996762365497918E-5</v>
      </c>
      <c r="I103" s="1">
        <f t="shared" si="54"/>
        <v>7.397267839559441E-8</v>
      </c>
      <c r="J103" s="1">
        <f t="shared" si="55"/>
        <v>1.7501102962964092E-8</v>
      </c>
      <c r="K103" s="1">
        <f>'Enter data'!$C$86/D103</f>
        <v>40.737071031562614</v>
      </c>
      <c r="L103" s="1"/>
      <c r="M103" s="24">
        <f>1+(2/PI())*ATAN(1.4*('Enter data'!C$32/G103)^2)</f>
        <v>1</v>
      </c>
      <c r="N103" s="24">
        <f>1+(2/PI())*ATAN(1.4*('Enter data'!D$32/H103)^2)</f>
        <v>1</v>
      </c>
      <c r="O103" s="1">
        <f t="shared" si="33"/>
        <v>0.22616458350379795</v>
      </c>
      <c r="P103" s="1">
        <f t="shared" si="34"/>
        <v>0.95593975050624513</v>
      </c>
      <c r="Q103" s="16">
        <f>8.686*O103/2/'Enter data'!C$46</f>
        <v>1.9588280197644033E-2</v>
      </c>
      <c r="R103" s="16">
        <f>8.686*P103/2/'Enter data'!C$46</f>
        <v>8.279464182626016E-2</v>
      </c>
      <c r="S103" s="16">
        <f t="shared" si="35"/>
        <v>5.9705804064996435E-3</v>
      </c>
      <c r="T103" s="16">
        <f t="shared" si="36"/>
        <v>2.5236113699786684E-2</v>
      </c>
      <c r="U103">
        <f t="shared" si="30"/>
        <v>1.182104334010043</v>
      </c>
      <c r="V103">
        <f>U103/(2*'Enter data'!$C$46)</f>
        <v>1.1787119735655559E-2</v>
      </c>
      <c r="W103">
        <f t="shared" si="37"/>
        <v>0.1023815075695359</v>
      </c>
      <c r="Y103" s="1"/>
      <c r="Z103" s="1">
        <f>4*PI()^2*D103*'Enter data'!$C$85*'Enter data'!$E$15*'Enter data'!$E$16/LN('Enter data'!$C$45)</f>
        <v>1.3381457013367634E-6</v>
      </c>
      <c r="AA103" s="16">
        <f>27.28753*'Enter data'!$E$15^0.5*'Enter data'!$E$16*D103/'Enter data'!$C$86</f>
        <v>2.9120935871646426E-4</v>
      </c>
      <c r="AB103" s="16">
        <f t="shared" si="56"/>
        <v>8.8761691878951551E-5</v>
      </c>
      <c r="AC103" s="19"/>
      <c r="AD103">
        <f>2*PI()/'Enter data'!$E$11/LN($C$3/$C$2)</f>
        <v>5.1880404392247992E-18</v>
      </c>
      <c r="AE103" s="14">
        <f>8.686*AD103*'Enter data'!$C$46/2</f>
        <v>1.1298253133715425E-15</v>
      </c>
      <c r="AF103" s="16">
        <f t="shared" si="38"/>
        <v>3.4437494311495441E-16</v>
      </c>
      <c r="AH103" s="1">
        <f t="shared" si="31"/>
        <v>0.10267413138262178</v>
      </c>
      <c r="AI103" s="16">
        <f t="shared" si="39"/>
        <v>3.1295455798165624E-2</v>
      </c>
      <c r="AK103" s="1">
        <f t="shared" si="40"/>
        <v>1.3334937215628348E-2</v>
      </c>
      <c r="AL103" s="1">
        <f t="shared" si="41"/>
        <v>5.6363363164286688E-2</v>
      </c>
      <c r="AM103" s="1">
        <f t="shared" si="42"/>
        <v>6.9698300379915035E-2</v>
      </c>
      <c r="AN103" s="1">
        <f t="shared" si="43"/>
        <v>6.9989509738632619E-2</v>
      </c>
      <c r="AP103" s="1">
        <f t="shared" si="44"/>
        <v>1.9588280197644033E-2</v>
      </c>
      <c r="AQ103" s="1">
        <f t="shared" si="45"/>
        <v>8.279464182626016E-2</v>
      </c>
      <c r="AR103" s="1">
        <f t="shared" si="46"/>
        <v>0.1023829220239042</v>
      </c>
      <c r="AS103" s="1">
        <f t="shared" si="47"/>
        <v>0.10267413138262178</v>
      </c>
      <c r="AU103" s="1">
        <f t="shared" si="48"/>
        <v>1.7609374190677044E-2</v>
      </c>
      <c r="AV103" s="1">
        <f t="shared" si="49"/>
        <v>0.1028690306834552</v>
      </c>
      <c r="AW103" s="1">
        <f t="shared" si="50"/>
        <v>0.12047840487413224</v>
      </c>
      <c r="AX103" s="1">
        <f t="shared" si="51"/>
        <v>0.12076961423284982</v>
      </c>
    </row>
    <row r="104" spans="4:50" x14ac:dyDescent="0.25">
      <c r="D104" s="1">
        <f>D103*'Enter data'!$C$77</f>
        <v>8789948.0033653155</v>
      </c>
      <c r="E104">
        <f t="shared" si="32"/>
        <v>8.7899480033653155E-3</v>
      </c>
      <c r="G104" s="1">
        <f t="shared" si="52"/>
        <v>2.1957098448083876E-5</v>
      </c>
      <c r="H104" s="1">
        <f t="shared" si="53"/>
        <v>2.1957098448083876E-5</v>
      </c>
      <c r="I104" s="1">
        <f t="shared" si="54"/>
        <v>6.7583838486660926E-8</v>
      </c>
      <c r="J104" s="1">
        <f t="shared" si="55"/>
        <v>1.6290414993503236E-8</v>
      </c>
      <c r="K104" s="1">
        <f>'Enter data'!$C$86/D104</f>
        <v>34.106283437083086</v>
      </c>
      <c r="L104" s="1"/>
      <c r="M104" s="24">
        <f>1+(2/PI())*ATAN(1.4*('Enter data'!C$32/G104)^2)</f>
        <v>1</v>
      </c>
      <c r="N104" s="24">
        <f>1+(2/PI())*ATAN(1.4*('Enter data'!D$32/H104)^2)</f>
        <v>1</v>
      </c>
      <c r="O104" s="1">
        <f t="shared" si="33"/>
        <v>0.24754438893407948</v>
      </c>
      <c r="P104" s="1">
        <f t="shared" si="34"/>
        <v>1.0269842730631524</v>
      </c>
      <c r="Q104" s="16">
        <f>8.686*O104/2/'Enter data'!C$46</f>
        <v>2.1440000802397489E-2</v>
      </c>
      <c r="R104" s="16">
        <f>8.686*P104/2/'Enter data'!C$46</f>
        <v>8.8947859950835248E-2</v>
      </c>
      <c r="S104" s="16">
        <f t="shared" si="35"/>
        <v>6.5349917100699486E-3</v>
      </c>
      <c r="T104" s="16">
        <f t="shared" si="36"/>
        <v>2.7111637390525252E-2</v>
      </c>
      <c r="U104">
        <f t="shared" si="30"/>
        <v>1.2745286619972318</v>
      </c>
      <c r="V104">
        <f>U104/(2*'Enter data'!$C$46)</f>
        <v>1.2708710655449311E-2</v>
      </c>
      <c r="W104">
        <f t="shared" si="37"/>
        <v>0.11038633570795404</v>
      </c>
      <c r="Y104" s="1"/>
      <c r="Z104" s="1">
        <f>4*PI()^2*D104*'Enter data'!$C$85*'Enter data'!$E$15*'Enter data'!$E$16/LN('Enter data'!$C$45)</f>
        <v>1.5983018667658736E-6</v>
      </c>
      <c r="AA104" s="16">
        <f>27.28753*'Enter data'!$E$15^0.5*'Enter data'!$E$16*D104/'Enter data'!$C$86</f>
        <v>3.47824949997043E-4</v>
      </c>
      <c r="AB104" s="16">
        <f t="shared" si="56"/>
        <v>1.0601833394203944E-4</v>
      </c>
      <c r="AC104" s="19"/>
      <c r="AD104">
        <f>2*PI()/'Enter data'!$E$11/LN($C$3/$C$2)</f>
        <v>5.1880404392247992E-18</v>
      </c>
      <c r="AE104" s="14">
        <f>8.686*AD104*'Enter data'!$C$46/2</f>
        <v>1.1298253133715425E-15</v>
      </c>
      <c r="AF104" s="16">
        <f t="shared" si="38"/>
        <v>3.4437494311495441E-16</v>
      </c>
      <c r="AH104" s="1">
        <f t="shared" si="31"/>
        <v>0.1107356857032309</v>
      </c>
      <c r="AI104" s="16">
        <f t="shared" si="39"/>
        <v>3.3752647434537583E-2</v>
      </c>
      <c r="AK104" s="1">
        <f t="shared" si="40"/>
        <v>1.4595516386240917E-2</v>
      </c>
      <c r="AL104" s="1">
        <f t="shared" si="41"/>
        <v>6.0552234087990549E-2</v>
      </c>
      <c r="AM104" s="1">
        <f t="shared" si="42"/>
        <v>7.5147750474231473E-2</v>
      </c>
      <c r="AN104" s="1">
        <f t="shared" si="43"/>
        <v>7.5495575424229647E-2</v>
      </c>
      <c r="AP104" s="1">
        <f t="shared" si="44"/>
        <v>2.1440000802397489E-2</v>
      </c>
      <c r="AQ104" s="1">
        <f t="shared" si="45"/>
        <v>8.8947859950835248E-2</v>
      </c>
      <c r="AR104" s="1">
        <f t="shared" si="46"/>
        <v>0.11038786075323273</v>
      </c>
      <c r="AS104" s="1">
        <f t="shared" si="47"/>
        <v>0.1107356857032309</v>
      </c>
      <c r="AU104" s="1">
        <f t="shared" si="48"/>
        <v>1.9274024721335284E-2</v>
      </c>
      <c r="AV104" s="1">
        <f t="shared" si="49"/>
        <v>0.11051415807451476</v>
      </c>
      <c r="AW104" s="1">
        <f t="shared" si="50"/>
        <v>0.12978818279585003</v>
      </c>
      <c r="AX104" s="1">
        <f t="shared" si="51"/>
        <v>0.13013600774584821</v>
      </c>
    </row>
    <row r="105" spans="4:50" x14ac:dyDescent="0.25">
      <c r="D105" s="1">
        <f>D104*'Enter data'!$C$77</f>
        <v>10498849.481427373</v>
      </c>
      <c r="E105">
        <f t="shared" si="32"/>
        <v>1.0498849481427373E-2</v>
      </c>
      <c r="G105" s="1">
        <f t="shared" si="52"/>
        <v>2.0090800788693971E-5</v>
      </c>
      <c r="H105" s="1">
        <f t="shared" si="53"/>
        <v>2.0090800788693971E-5</v>
      </c>
      <c r="I105" s="1">
        <f t="shared" si="54"/>
        <v>6.1712046650217508E-8</v>
      </c>
      <c r="J105" s="1">
        <f t="shared" si="55"/>
        <v>1.5139031752919908E-8</v>
      </c>
      <c r="K105" s="1">
        <f>'Enter data'!$C$86/D105</f>
        <v>28.55479150647292</v>
      </c>
      <c r="L105" s="1"/>
      <c r="M105" s="24">
        <f>1+(2/PI())*ATAN(1.4*('Enter data'!C$32/G105)^2)</f>
        <v>1</v>
      </c>
      <c r="N105" s="24">
        <f>1+(2/PI())*ATAN(1.4*('Enter data'!D$32/H105)^2)</f>
        <v>1</v>
      </c>
      <c r="O105" s="1">
        <f t="shared" si="33"/>
        <v>0.27109779869763945</v>
      </c>
      <c r="P105" s="1">
        <f t="shared" si="34"/>
        <v>1.1050904888136746</v>
      </c>
      <c r="Q105" s="16">
        <f>8.686*O105/2/'Enter data'!C$46</f>
        <v>2.3479978870187178E-2</v>
      </c>
      <c r="R105" s="16">
        <f>8.686*P105/2/'Enter data'!C$46</f>
        <v>9.5712696494188954E-2</v>
      </c>
      <c r="S105" s="16">
        <f t="shared" si="35"/>
        <v>7.1567845861336184E-3</v>
      </c>
      <c r="T105" s="16">
        <f t="shared" si="36"/>
        <v>2.9173584642218042E-2</v>
      </c>
      <c r="U105">
        <f t="shared" si="30"/>
        <v>1.3761882875113141</v>
      </c>
      <c r="V105">
        <f>U105/(2*'Enter data'!$C$46)</f>
        <v>1.3722389519269644E-2</v>
      </c>
      <c r="W105">
        <f t="shared" si="37"/>
        <v>0.1191910286776338</v>
      </c>
      <c r="Y105" s="1"/>
      <c r="Z105" s="1">
        <f>4*PI()^2*D105*'Enter data'!$C$85*'Enter data'!$E$15*'Enter data'!$E$16/LN('Enter data'!$C$45)</f>
        <v>1.9090364037005431E-6</v>
      </c>
      <c r="AA105" s="16">
        <f>27.28753*'Enter data'!$E$15^0.5*'Enter data'!$E$16*D105/'Enter data'!$C$86</f>
        <v>4.154474855261766E-4</v>
      </c>
      <c r="AB105" s="16">
        <f t="shared" si="56"/>
        <v>1.2662993340836886E-4</v>
      </c>
      <c r="AC105" s="19"/>
      <c r="AD105">
        <f>2*PI()/'Enter data'!$E$11/LN($C$3/$C$2)</f>
        <v>5.1880404392247992E-18</v>
      </c>
      <c r="AE105" s="14">
        <f>8.686*AD105*'Enter data'!$C$46/2</f>
        <v>1.1298253133715425E-15</v>
      </c>
      <c r="AF105" s="16">
        <f t="shared" si="38"/>
        <v>3.4437494311495441E-16</v>
      </c>
      <c r="AH105" s="1">
        <f t="shared" si="31"/>
        <v>0.11960812284990344</v>
      </c>
      <c r="AI105" s="16">
        <f t="shared" si="39"/>
        <v>3.6456999161760373E-2</v>
      </c>
      <c r="AK105" s="1">
        <f t="shared" si="40"/>
        <v>1.5984253895647491E-2</v>
      </c>
      <c r="AL105" s="1">
        <f t="shared" si="41"/>
        <v>6.5157470978080556E-2</v>
      </c>
      <c r="AM105" s="1">
        <f t="shared" si="42"/>
        <v>8.1141724873728047E-2</v>
      </c>
      <c r="AN105" s="1">
        <f t="shared" si="43"/>
        <v>8.1557172359255345E-2</v>
      </c>
      <c r="AP105" s="1">
        <f t="shared" si="44"/>
        <v>2.3479978870187178E-2</v>
      </c>
      <c r="AQ105" s="1">
        <f t="shared" si="45"/>
        <v>9.5712696494188954E-2</v>
      </c>
      <c r="AR105" s="1">
        <f t="shared" si="46"/>
        <v>0.11919267536437614</v>
      </c>
      <c r="AS105" s="1">
        <f t="shared" si="47"/>
        <v>0.11960812284990344</v>
      </c>
      <c r="AU105" s="1">
        <f t="shared" si="48"/>
        <v>2.1107914004826516E-2</v>
      </c>
      <c r="AV105" s="1">
        <f t="shared" si="49"/>
        <v>0.11891919688617</v>
      </c>
      <c r="AW105" s="1">
        <f t="shared" si="50"/>
        <v>0.14002711089099651</v>
      </c>
      <c r="AX105" s="1">
        <f t="shared" si="51"/>
        <v>0.14044255837652384</v>
      </c>
    </row>
    <row r="106" spans="4:50" x14ac:dyDescent="0.25">
      <c r="D106" s="1">
        <f>D105*'Enter data'!$C$77</f>
        <v>12539987.766874937</v>
      </c>
      <c r="E106">
        <f t="shared" si="32"/>
        <v>1.2539987766874938E-2</v>
      </c>
      <c r="G106" s="1">
        <f t="shared" si="52"/>
        <v>1.8383133695254286E-5</v>
      </c>
      <c r="H106" s="1">
        <f t="shared" si="53"/>
        <v>1.8383133695254286E-5</v>
      </c>
      <c r="I106" s="1">
        <f t="shared" si="54"/>
        <v>5.6331583661023566E-8</v>
      </c>
      <c r="J106" s="1">
        <f t="shared" si="55"/>
        <v>1.4048357916010606E-8</v>
      </c>
      <c r="K106" s="1">
        <f>'Enter data'!$C$86/D106</f>
        <v>23.906917899227793</v>
      </c>
      <c r="L106" s="1"/>
      <c r="M106" s="24">
        <f>1+(2/PI())*ATAN(1.4*('Enter data'!C$32/G106)^2)</f>
        <v>1</v>
      </c>
      <c r="N106" s="24">
        <f>1+(2/PI())*ATAN(1.4*('Enter data'!D$32/H106)^2)</f>
        <v>1</v>
      </c>
      <c r="O106" s="1">
        <f t="shared" si="33"/>
        <v>0.29699147285957933</v>
      </c>
      <c r="P106" s="1">
        <f t="shared" si="34"/>
        <v>1.1908865149949794</v>
      </c>
      <c r="Q106" s="16">
        <f>8.686*O106/2/'Enter data'!C$46</f>
        <v>2.5722648951296744E-2</v>
      </c>
      <c r="R106" s="16">
        <f>8.686*P106/2/'Enter data'!C$46</f>
        <v>0.10314355315020284</v>
      </c>
      <c r="S106" s="16">
        <f t="shared" si="35"/>
        <v>7.8403587391175141E-3</v>
      </c>
      <c r="T106" s="16">
        <f t="shared" si="36"/>
        <v>3.1438537292795304E-2</v>
      </c>
      <c r="U106">
        <f t="shared" si="30"/>
        <v>1.4878779878545587</v>
      </c>
      <c r="V106">
        <f>U106/(2*'Enter data'!$C$46)</f>
        <v>1.4836081291906467E-2</v>
      </c>
      <c r="W106">
        <f t="shared" si="37"/>
        <v>0.12886442177174454</v>
      </c>
      <c r="Y106" s="1"/>
      <c r="Z106" s="1">
        <f>4*PI()^2*D106*'Enter data'!$C$85*'Enter data'!$E$15*'Enter data'!$E$16/LN('Enter data'!$C$45)</f>
        <v>2.2801825277400845E-6</v>
      </c>
      <c r="AA106" s="16">
        <f>27.28753*'Enter data'!$E$15^0.5*'Enter data'!$E$16*D106/'Enter data'!$C$86</f>
        <v>4.9621688504947702E-4</v>
      </c>
      <c r="AB106" s="16">
        <f t="shared" si="56"/>
        <v>1.5124874574782887E-4</v>
      </c>
      <c r="AC106" s="19"/>
      <c r="AD106">
        <f>2*PI()/'Enter data'!$E$11/LN($C$3/$C$2)</f>
        <v>5.1880404392247992E-18</v>
      </c>
      <c r="AE106" s="14">
        <f>8.686*AD106*'Enter data'!$C$46/2</f>
        <v>1.1298253133715425E-15</v>
      </c>
      <c r="AF106" s="16">
        <f t="shared" si="38"/>
        <v>3.4437494311495441E-16</v>
      </c>
      <c r="AH106" s="1">
        <f t="shared" si="31"/>
        <v>0.12936241898655018</v>
      </c>
      <c r="AI106" s="16">
        <f t="shared" si="39"/>
        <v>3.9430144777660991E-2</v>
      </c>
      <c r="AK106" s="1">
        <f t="shared" si="40"/>
        <v>1.7510976222733721E-2</v>
      </c>
      <c r="AL106" s="1">
        <f t="shared" si="41"/>
        <v>7.0216108386085233E-2</v>
      </c>
      <c r="AM106" s="1">
        <f t="shared" si="42"/>
        <v>8.772708460881895E-2</v>
      </c>
      <c r="AN106" s="1">
        <f t="shared" si="43"/>
        <v>8.8223301493869546E-2</v>
      </c>
      <c r="AP106" s="1">
        <f t="shared" si="44"/>
        <v>2.5722648951296744E-2</v>
      </c>
      <c r="AQ106" s="1">
        <f t="shared" si="45"/>
        <v>0.10314355315020284</v>
      </c>
      <c r="AR106" s="1">
        <f t="shared" si="46"/>
        <v>0.12886620210149957</v>
      </c>
      <c r="AS106" s="1">
        <f t="shared" si="47"/>
        <v>0.12936241898655018</v>
      </c>
      <c r="AU106" s="1">
        <f t="shared" si="48"/>
        <v>2.3124018340991988E-2</v>
      </c>
      <c r="AV106" s="1">
        <f t="shared" si="49"/>
        <v>0.128151739047001</v>
      </c>
      <c r="AW106" s="1">
        <f t="shared" si="50"/>
        <v>0.15127575738799298</v>
      </c>
      <c r="AX106" s="1">
        <f t="shared" si="51"/>
        <v>0.15177197427304359</v>
      </c>
    </row>
    <row r="107" spans="4:50" x14ac:dyDescent="0.25">
      <c r="D107" s="1">
        <f>D106*'Enter data'!$C$77</f>
        <v>14977954.819864122</v>
      </c>
      <c r="E107">
        <f t="shared" si="32"/>
        <v>1.4977954819864123E-2</v>
      </c>
      <c r="G107" s="1">
        <f t="shared" si="52"/>
        <v>1.6820613972130361E-5</v>
      </c>
      <c r="H107" s="1">
        <f t="shared" si="53"/>
        <v>1.6820613972130361E-5</v>
      </c>
      <c r="I107" s="1">
        <f t="shared" si="54"/>
        <v>5.1412322701982348E-8</v>
      </c>
      <c r="J107" s="1">
        <f t="shared" si="55"/>
        <v>1.3018895725269554E-8</v>
      </c>
      <c r="K107" s="1">
        <f>'Enter data'!$C$86/D107</f>
        <v>20.015580338272091</v>
      </c>
      <c r="L107" s="1"/>
      <c r="M107" s="24">
        <f>1+(2/PI())*ATAN(1.4*('Enter data'!C$32/G107)^2)</f>
        <v>1</v>
      </c>
      <c r="N107" s="24">
        <f>1+(2/PI())*ATAN(1.4*('Enter data'!D$32/H107)^2)</f>
        <v>1</v>
      </c>
      <c r="O107" s="1">
        <f t="shared" si="33"/>
        <v>0.32540836750320423</v>
      </c>
      <c r="P107" s="1">
        <f t="shared" si="34"/>
        <v>1.2850552268828168</v>
      </c>
      <c r="Q107" s="16">
        <f>8.686*O107/2/'Enter data'!C$46</f>
        <v>2.8183857006080029E-2</v>
      </c>
      <c r="R107" s="16">
        <f>8.686*P107/2/'Enter data'!C$46</f>
        <v>0.1112995742465793</v>
      </c>
      <c r="S107" s="16">
        <f t="shared" si="35"/>
        <v>8.5905440764691629E-3</v>
      </c>
      <c r="T107" s="16">
        <f t="shared" si="36"/>
        <v>3.3924522752554039E-2</v>
      </c>
      <c r="U107">
        <f t="shared" si="30"/>
        <v>1.610463594386021</v>
      </c>
      <c r="V107">
        <f>U107/(2*'Enter data'!$C$46)</f>
        <v>1.6058419439633816E-2</v>
      </c>
      <c r="W107">
        <f t="shared" si="37"/>
        <v>0.13948150424232655</v>
      </c>
      <c r="Y107" s="1"/>
      <c r="Z107" s="1">
        <f>4*PI()^2*D107*'Enter data'!$C$85*'Enter data'!$E$15*'Enter data'!$E$16/LN('Enter data'!$C$45)</f>
        <v>2.7234851832750722E-6</v>
      </c>
      <c r="AA107" s="16">
        <f>27.28753*'Enter data'!$E$15^0.5*'Enter data'!$E$16*D107/'Enter data'!$C$86</f>
        <v>5.926891017196714E-4</v>
      </c>
      <c r="AB107" s="16">
        <f t="shared" si="56"/>
        <v>1.806538349547889E-4</v>
      </c>
      <c r="AC107" s="19"/>
      <c r="AD107">
        <f>2*PI()/'Enter data'!$E$11/LN($C$3/$C$2)</f>
        <v>5.1880404392247992E-18</v>
      </c>
      <c r="AE107" s="14">
        <f>8.686*AD107*'Enter data'!$C$46/2</f>
        <v>1.1298253133715425E-15</v>
      </c>
      <c r="AF107" s="16">
        <f t="shared" si="38"/>
        <v>3.4437494311495441E-16</v>
      </c>
      <c r="AH107" s="1">
        <f t="shared" si="31"/>
        <v>0.14007612035438013</v>
      </c>
      <c r="AI107" s="16">
        <f t="shared" si="39"/>
        <v>4.2695720663978337E-2</v>
      </c>
      <c r="AK107" s="1">
        <f t="shared" si="40"/>
        <v>1.9186470679316045E-2</v>
      </c>
      <c r="AL107" s="1">
        <f t="shared" si="41"/>
        <v>7.5768409463675565E-2</v>
      </c>
      <c r="AM107" s="1">
        <f t="shared" si="42"/>
        <v>9.495488014299161E-2</v>
      </c>
      <c r="AN107" s="1">
        <f t="shared" si="43"/>
        <v>9.5547569244712402E-2</v>
      </c>
      <c r="AP107" s="1">
        <f t="shared" si="44"/>
        <v>2.8183857006080029E-2</v>
      </c>
      <c r="AQ107" s="1">
        <f t="shared" si="45"/>
        <v>0.1112995742465793</v>
      </c>
      <c r="AR107" s="1">
        <f t="shared" si="46"/>
        <v>0.13948343125265933</v>
      </c>
      <c r="AS107" s="1">
        <f t="shared" si="47"/>
        <v>0.14007612035438013</v>
      </c>
      <c r="AU107" s="1">
        <f t="shared" si="48"/>
        <v>2.5336582852040792E-2</v>
      </c>
      <c r="AV107" s="1">
        <f t="shared" si="49"/>
        <v>0.1382852690184049</v>
      </c>
      <c r="AW107" s="1">
        <f t="shared" si="50"/>
        <v>0.1636218518704457</v>
      </c>
      <c r="AX107" s="1">
        <f t="shared" si="51"/>
        <v>0.16421454097216651</v>
      </c>
    </row>
    <row r="108" spans="4:50" x14ac:dyDescent="0.25">
      <c r="D108" s="1">
        <f>D107*'Enter data'!$C$77</f>
        <v>17889900.273945641</v>
      </c>
      <c r="E108">
        <f t="shared" si="32"/>
        <v>1.7889900273945641E-2</v>
      </c>
      <c r="G108" s="1">
        <f t="shared" si="52"/>
        <v>1.5390904461107626E-5</v>
      </c>
      <c r="H108" s="1">
        <f t="shared" si="53"/>
        <v>1.5390904461107626E-5</v>
      </c>
      <c r="I108" s="1">
        <f t="shared" si="54"/>
        <v>4.692166300311551E-8</v>
      </c>
      <c r="J108" s="1">
        <f t="shared" si="55"/>
        <v>1.2050352927138101E-8</v>
      </c>
      <c r="K108" s="1">
        <f>'Enter data'!$C$86/D108</f>
        <v>16.757637181276493</v>
      </c>
      <c r="L108" s="1"/>
      <c r="M108" s="24">
        <f>1+(2/PI())*ATAN(1.4*('Enter data'!C$32/G108)^2)</f>
        <v>1</v>
      </c>
      <c r="N108" s="24">
        <f>1+(2/PI())*ATAN(1.4*('Enter data'!D$32/H108)^2)</f>
        <v>1</v>
      </c>
      <c r="O108" s="1">
        <f t="shared" si="33"/>
        <v>0.3565517274801015</v>
      </c>
      <c r="P108" s="1">
        <f t="shared" si="34"/>
        <v>1.3883410802287011</v>
      </c>
      <c r="Q108" s="16">
        <f>8.686*O108/2/'Enter data'!C$46</f>
        <v>3.0881206219969266E-2</v>
      </c>
      <c r="R108" s="16">
        <f>8.686*P108/2/'Enter data'!C$46</f>
        <v>0.12024523764112212</v>
      </c>
      <c r="S108" s="16">
        <f t="shared" si="35"/>
        <v>9.4127061143529818E-3</v>
      </c>
      <c r="T108" s="16">
        <f t="shared" si="36"/>
        <v>3.6651194111534419E-2</v>
      </c>
      <c r="U108">
        <f t="shared" si="30"/>
        <v>1.7448928077088026</v>
      </c>
      <c r="V108">
        <f>U108/(2*'Enter data'!$C$46)</f>
        <v>1.739885377171211E-2</v>
      </c>
      <c r="W108">
        <f t="shared" si="37"/>
        <v>0.15112435599863877</v>
      </c>
      <c r="Y108" s="1"/>
      <c r="Z108" s="1">
        <f>4*PI()^2*D108*'Enter data'!$C$85*'Enter data'!$E$15*'Enter data'!$E$16/LN('Enter data'!$C$45)</f>
        <v>3.2529727130530633E-6</v>
      </c>
      <c r="AA108" s="16">
        <f>27.28753*'Enter data'!$E$15^0.5*'Enter data'!$E$16*D108/'Enter data'!$C$86</f>
        <v>7.0791700540832143E-4</v>
      </c>
      <c r="AB108" s="16">
        <f t="shared" si="56"/>
        <v>2.1577572708129768E-4</v>
      </c>
      <c r="AC108" s="19"/>
      <c r="AD108">
        <f>2*PI()/'Enter data'!$E$11/LN($C$3/$C$2)</f>
        <v>5.1880404392247992E-18</v>
      </c>
      <c r="AE108" s="14">
        <f>8.686*AD108*'Enter data'!$C$46/2</f>
        <v>1.1298253133715425E-15</v>
      </c>
      <c r="AF108" s="16">
        <f t="shared" si="38"/>
        <v>3.4437494311495441E-16</v>
      </c>
      <c r="AH108" s="1">
        <f t="shared" si="31"/>
        <v>0.15183436086650084</v>
      </c>
      <c r="AI108" s="16">
        <f t="shared" si="39"/>
        <v>4.6279675952969043E-2</v>
      </c>
      <c r="AK108" s="1">
        <f t="shared" si="40"/>
        <v>2.1022720827512498E-2</v>
      </c>
      <c r="AL108" s="1">
        <f t="shared" si="41"/>
        <v>8.1858268221807931E-2</v>
      </c>
      <c r="AM108" s="1">
        <f t="shared" si="42"/>
        <v>0.10288098904932043</v>
      </c>
      <c r="AN108" s="1">
        <f t="shared" si="43"/>
        <v>0.10358890605472987</v>
      </c>
      <c r="AP108" s="1">
        <f t="shared" si="44"/>
        <v>3.0881206219969266E-2</v>
      </c>
      <c r="AQ108" s="1">
        <f t="shared" si="45"/>
        <v>0.12024523764112212</v>
      </c>
      <c r="AR108" s="1">
        <f t="shared" si="46"/>
        <v>0.15112644386109139</v>
      </c>
      <c r="AS108" s="1">
        <f t="shared" si="47"/>
        <v>0.15183436086650084</v>
      </c>
      <c r="AU108" s="1">
        <f t="shared" si="48"/>
        <v>2.776143236159687E-2</v>
      </c>
      <c r="AV108" s="1">
        <f t="shared" si="49"/>
        <v>0.14939989795958858</v>
      </c>
      <c r="AW108" s="1">
        <f t="shared" si="50"/>
        <v>0.17716133032118545</v>
      </c>
      <c r="AX108" s="1">
        <f t="shared" si="51"/>
        <v>0.1778692473265949</v>
      </c>
    </row>
    <row r="109" spans="4:50" x14ac:dyDescent="0.25">
      <c r="D109" s="1">
        <f>D108*'Enter data'!$C$77</f>
        <v>21367972.841476612</v>
      </c>
      <c r="E109">
        <f t="shared" si="32"/>
        <v>2.1367972841476613E-2</v>
      </c>
      <c r="G109" s="1">
        <f t="shared" si="52"/>
        <v>1.4082716631118393E-5</v>
      </c>
      <c r="H109" s="1">
        <f t="shared" si="53"/>
        <v>1.4082716631118393E-5</v>
      </c>
      <c r="I109" s="1">
        <f t="shared" si="54"/>
        <v>4.2826200980749684E-8</v>
      </c>
      <c r="J109" s="1">
        <f t="shared" si="55"/>
        <v>1.1141764966475403E-8</v>
      </c>
      <c r="K109" s="1">
        <f>'Enter data'!$C$86/D109</f>
        <v>14.029990594993809</v>
      </c>
      <c r="L109" s="1"/>
      <c r="M109" s="24">
        <f>1+(2/PI())*ATAN(1.4*('Enter data'!C$32/G109)^2)</f>
        <v>1</v>
      </c>
      <c r="N109" s="24">
        <f>1+(2/PI())*ATAN(1.4*('Enter data'!D$32/H109)^2)</f>
        <v>1</v>
      </c>
      <c r="O109" s="1">
        <f t="shared" si="33"/>
        <v>0.3906487060927985</v>
      </c>
      <c r="P109" s="1">
        <f t="shared" si="34"/>
        <v>1.5015574328070203</v>
      </c>
      <c r="Q109" s="16">
        <f>8.686*O109/2/'Enter data'!C$46</f>
        <v>3.3834370506840773E-2</v>
      </c>
      <c r="R109" s="16">
        <f>8.686*P109/2/'Enter data'!C$46</f>
        <v>0.13005098884629318</v>
      </c>
      <c r="S109" s="16">
        <f t="shared" si="35"/>
        <v>1.0312841534638129E-2</v>
      </c>
      <c r="T109" s="16">
        <f t="shared" si="36"/>
        <v>3.9640023423034985E-2</v>
      </c>
      <c r="U109">
        <f t="shared" ref="U109:U114" si="57">O109+P109</f>
        <v>1.8922061388998188</v>
      </c>
      <c r="V109">
        <f>U109/(2*'Enter data'!$C$46)</f>
        <v>1.8867759538698358E-2</v>
      </c>
      <c r="W109">
        <f t="shared" si="37"/>
        <v>0.16388309522198927</v>
      </c>
      <c r="Y109" s="1"/>
      <c r="Z109" s="1">
        <f>4*PI()^2*D109*'Enter data'!$C$85*'Enter data'!$E$15*'Enter data'!$E$16/LN('Enter data'!$C$45)</f>
        <v>3.8854007860409365E-6</v>
      </c>
      <c r="AA109" s="16">
        <f>27.28753*'Enter data'!$E$15^0.5*'Enter data'!$E$16*D109/'Enter data'!$C$86</f>
        <v>8.4554699098097542E-4</v>
      </c>
      <c r="AB109" s="16">
        <f t="shared" si="56"/>
        <v>2.5772585679741995E-4</v>
      </c>
      <c r="AC109" s="19"/>
      <c r="AD109">
        <f>2*PI()/'Enter data'!$E$11/LN($C$3/$C$2)</f>
        <v>5.1880404392247992E-18</v>
      </c>
      <c r="AE109" s="14">
        <f>8.686*AD109*'Enter data'!$C$46/2</f>
        <v>1.1298253133715425E-15</v>
      </c>
      <c r="AF109" s="16">
        <f t="shared" si="38"/>
        <v>3.4437494311495441E-16</v>
      </c>
      <c r="AH109" s="1">
        <f t="shared" ref="AH109:AH140" si="58">Q109+R109+AA109+AE109</f>
        <v>0.16473090634411605</v>
      </c>
      <c r="AI109" s="16">
        <f t="shared" si="39"/>
        <v>5.0210590814470872E-2</v>
      </c>
      <c r="AK109" s="1">
        <f t="shared" si="40"/>
        <v>2.303311990060743E-2</v>
      </c>
      <c r="AL109" s="1">
        <f t="shared" si="41"/>
        <v>8.8533641217991385E-2</v>
      </c>
      <c r="AM109" s="1">
        <f t="shared" si="42"/>
        <v>0.11156676111859881</v>
      </c>
      <c r="AN109" s="1">
        <f t="shared" si="43"/>
        <v>0.11241230810958092</v>
      </c>
      <c r="AP109" s="1">
        <f t="shared" si="44"/>
        <v>3.3834370506840773E-2</v>
      </c>
      <c r="AQ109" s="1">
        <f t="shared" si="45"/>
        <v>0.13005098884629318</v>
      </c>
      <c r="AR109" s="1">
        <f t="shared" si="46"/>
        <v>0.16388535935313395</v>
      </c>
      <c r="AS109" s="1">
        <f t="shared" si="47"/>
        <v>0.16473090634411605</v>
      </c>
      <c r="AU109" s="1">
        <f t="shared" si="48"/>
        <v>3.0416253226387184E-2</v>
      </c>
      <c r="AV109" s="1">
        <f t="shared" si="49"/>
        <v>0.1615831516019654</v>
      </c>
      <c r="AW109" s="1">
        <f t="shared" si="50"/>
        <v>0.19199940482835259</v>
      </c>
      <c r="AX109" s="1">
        <f t="shared" si="51"/>
        <v>0.1928449518193347</v>
      </c>
    </row>
    <row r="110" spans="4:50" x14ac:dyDescent="0.25">
      <c r="D110" s="1">
        <f>D109*'Enter data'!$C$77</f>
        <v>25522236.365903482</v>
      </c>
      <c r="E110">
        <f t="shared" si="32"/>
        <v>2.5522236365903481E-2</v>
      </c>
      <c r="G110" s="1">
        <f t="shared" si="52"/>
        <v>1.28857214475949E-5</v>
      </c>
      <c r="H110" s="1">
        <f t="shared" si="53"/>
        <v>1.28857214475949E-5</v>
      </c>
      <c r="I110" s="1">
        <f t="shared" si="54"/>
        <v>3.9093043903660582E-8</v>
      </c>
      <c r="J110" s="1">
        <f t="shared" si="55"/>
        <v>1.0291621035788479E-8</v>
      </c>
      <c r="K110" s="1">
        <f>'Enter data'!$C$86/D110</f>
        <v>11.746324017299234</v>
      </c>
      <c r="L110" s="1"/>
      <c r="M110" s="24">
        <f>1+(2/PI())*ATAN(1.4*('Enter data'!C$32/G110)^2)</f>
        <v>1</v>
      </c>
      <c r="N110" s="24">
        <f>1+(2/PI())*ATAN(1.4*('Enter data'!D$32/H110)^2)</f>
        <v>1</v>
      </c>
      <c r="O110" s="1">
        <f t="shared" si="33"/>
        <v>0.4279533730151272</v>
      </c>
      <c r="P110" s="1">
        <f t="shared" si="34"/>
        <v>1.6255942520446931</v>
      </c>
      <c r="Q110" s="16">
        <f>8.686*O110/2/'Enter data'!C$46</f>
        <v>3.7065355027200424E-2</v>
      </c>
      <c r="R110" s="16">
        <f>8.686*P110/2/'Enter data'!C$46</f>
        <v>0.14079390859266125</v>
      </c>
      <c r="S110" s="16">
        <f t="shared" si="35"/>
        <v>1.1297657591807005E-2</v>
      </c>
      <c r="T110" s="16">
        <f t="shared" si="36"/>
        <v>4.2914505179426125E-2</v>
      </c>
      <c r="U110">
        <f t="shared" si="57"/>
        <v>2.0535476250598204</v>
      </c>
      <c r="V110">
        <f>U110/(2*'Enter data'!$C$46)</f>
        <v>2.0476544280435372E-2</v>
      </c>
      <c r="W110">
        <f>V110*8.68588</f>
        <v>0.17785680643454796</v>
      </c>
      <c r="Y110" s="1"/>
      <c r="Z110" s="1">
        <f>4*PI()^2*D110*'Enter data'!$C$85*'Enter data'!$E$15*'Enter data'!$E$16/LN('Enter data'!$C$45)</f>
        <v>4.6407826317113254E-6</v>
      </c>
      <c r="AA110" s="16">
        <f>27.28753*'Enter data'!$E$15^0.5*'Enter data'!$E$16*D110/'Enter data'!$C$86</f>
        <v>1.0099343687112077E-3</v>
      </c>
      <c r="AB110" s="16">
        <f t="shared" si="56"/>
        <v>3.0783173881712011E-4</v>
      </c>
      <c r="AC110" s="19"/>
      <c r="AD110">
        <f>2*PI()/'Enter data'!$E$11/LN($C$3/$C$2)</f>
        <v>5.1880404392247992E-18</v>
      </c>
      <c r="AE110" s="14">
        <f>8.686*AD110*'Enter data'!$C$46/2</f>
        <v>1.1298253133715425E-15</v>
      </c>
      <c r="AF110" s="16">
        <f t="shared" si="38"/>
        <v>3.4437494311495441E-16</v>
      </c>
      <c r="AH110" s="1">
        <f t="shared" si="58"/>
        <v>0.17886919798857404</v>
      </c>
      <c r="AI110" s="16">
        <f t="shared" si="39"/>
        <v>5.4519994510050608E-2</v>
      </c>
      <c r="AK110" s="1">
        <f t="shared" si="40"/>
        <v>2.5232648153671985E-2</v>
      </c>
      <c r="AL110" s="1">
        <f t="shared" si="41"/>
        <v>9.5847002007448653E-2</v>
      </c>
      <c r="AM110" s="1">
        <f t="shared" si="42"/>
        <v>0.12107965016112064</v>
      </c>
      <c r="AN110" s="1">
        <f t="shared" si="43"/>
        <v>0.12208958452983297</v>
      </c>
      <c r="AP110" s="1">
        <f t="shared" si="44"/>
        <v>3.7065355027200424E-2</v>
      </c>
      <c r="AQ110" s="1">
        <f t="shared" si="45"/>
        <v>0.14079390859266125</v>
      </c>
      <c r="AR110" s="1">
        <f t="shared" si="46"/>
        <v>0.17785926361986168</v>
      </c>
      <c r="AS110" s="1">
        <f t="shared" si="47"/>
        <v>0.17886919798857404</v>
      </c>
      <c r="AU110" s="1">
        <f t="shared" si="48"/>
        <v>3.3320827535577496E-2</v>
      </c>
      <c r="AV110" s="1">
        <f t="shared" si="49"/>
        <v>0.17493079967003788</v>
      </c>
      <c r="AW110" s="1">
        <f t="shared" si="50"/>
        <v>0.20825162720561538</v>
      </c>
      <c r="AX110" s="1">
        <f t="shared" si="51"/>
        <v>0.20926156157432774</v>
      </c>
    </row>
    <row r="111" spans="4:50" x14ac:dyDescent="0.25">
      <c r="D111" s="1">
        <f>D110*'Enter data'!$C$77</f>
        <v>30484152.799589243</v>
      </c>
      <c r="E111">
        <f t="shared" si="32"/>
        <v>3.0484152799589243E-2</v>
      </c>
      <c r="G111" s="1">
        <f t="shared" si="52"/>
        <v>1.1790467817701223E-5</v>
      </c>
      <c r="H111" s="1">
        <f t="shared" si="53"/>
        <v>1.1790467817701223E-5</v>
      </c>
      <c r="I111" s="1">
        <f t="shared" si="54"/>
        <v>3.5690736055499677E-8</v>
      </c>
      <c r="J111" s="1">
        <f t="shared" si="55"/>
        <v>9.4979854385067998E-9</v>
      </c>
      <c r="K111" s="1">
        <f>'Enter data'!$C$86/D111</f>
        <v>9.83437066369906</v>
      </c>
      <c r="L111" s="1"/>
      <c r="M111" s="24">
        <f>1+(2/PI())*ATAN(1.4*('Enter data'!C$32/G111)^2)</f>
        <v>1</v>
      </c>
      <c r="N111" s="24">
        <f>1+(2/PI())*ATAN(1.4*('Enter data'!D$32/H111)^2)</f>
        <v>1</v>
      </c>
      <c r="O111" s="1">
        <f t="shared" si="33"/>
        <v>0.46874908867064491</v>
      </c>
      <c r="P111" s="1">
        <f t="shared" si="34"/>
        <v>1.7614261580327464</v>
      </c>
      <c r="Q111" s="16">
        <f>8.686*O111/2/'Enter data'!C$46</f>
        <v>4.0598701834837415E-2</v>
      </c>
      <c r="R111" s="16">
        <f>8.686*P111/2/'Enter data'!C$46</f>
        <v>0.15255840944002466</v>
      </c>
      <c r="S111" s="16">
        <f t="shared" si="35"/>
        <v>1.2374634794817549E-2</v>
      </c>
      <c r="T111" s="16">
        <f t="shared" si="36"/>
        <v>4.6500368641802202E-2</v>
      </c>
      <c r="U111">
        <f t="shared" si="57"/>
        <v>2.2301752467033911</v>
      </c>
      <c r="V111">
        <f>U111/(2*'Enter data'!$C$46)</f>
        <v>2.2237751700997243E-2</v>
      </c>
      <c r="W111">
        <f>V111*8.68588</f>
        <v>0.1931544427446579</v>
      </c>
      <c r="Y111" s="1"/>
      <c r="Z111" s="1">
        <f>4*PI()^2*D111*'Enter data'!$C$85*'Enter data'!$E$15*'Enter data'!$E$16/LN('Enter data'!$C$45)</f>
        <v>5.5430223600532791E-6</v>
      </c>
      <c r="AA111" s="16">
        <f>27.28753*'Enter data'!$E$15^0.5*'Enter data'!$E$16*D111/'Enter data'!$C$86</f>
        <v>1.206281188371061E-3</v>
      </c>
      <c r="AB111" s="16">
        <f t="shared" si="56"/>
        <v>3.6767897719186201E-4</v>
      </c>
      <c r="AC111" s="19"/>
      <c r="AD111">
        <f>2*PI()/'Enter data'!$E$11/LN($C$3/$C$2)</f>
        <v>5.1880404392247992E-18</v>
      </c>
      <c r="AE111" s="14">
        <f>8.686*AD111*'Enter data'!$C$46/2</f>
        <v>1.1298253133715425E-15</v>
      </c>
      <c r="AF111" s="16">
        <f t="shared" si="38"/>
        <v>3.4437494311495441E-16</v>
      </c>
      <c r="AH111" s="1">
        <f t="shared" si="58"/>
        <v>0.19436339246323428</v>
      </c>
      <c r="AI111" s="16">
        <f t="shared" si="39"/>
        <v>5.9242682413811955E-2</v>
      </c>
      <c r="AK111" s="1">
        <f t="shared" si="40"/>
        <v>2.7638012859785753E-2</v>
      </c>
      <c r="AL111" s="1">
        <f t="shared" si="41"/>
        <v>0.10385581536880062</v>
      </c>
      <c r="AM111" s="1">
        <f t="shared" si="42"/>
        <v>0.13149382822858638</v>
      </c>
      <c r="AN111" s="1">
        <f t="shared" si="43"/>
        <v>0.13270010941695859</v>
      </c>
      <c r="AP111" s="1">
        <f t="shared" si="44"/>
        <v>4.0598701834837415E-2</v>
      </c>
      <c r="AQ111" s="1">
        <f t="shared" si="45"/>
        <v>0.15255840944002466</v>
      </c>
      <c r="AR111" s="1">
        <f t="shared" si="46"/>
        <v>0.19315711127486207</v>
      </c>
      <c r="AS111" s="1">
        <f t="shared" si="47"/>
        <v>0.19436339246323428</v>
      </c>
      <c r="AU111" s="1">
        <f t="shared" si="48"/>
        <v>3.6497217981972967E-2</v>
      </c>
      <c r="AV111" s="1">
        <f t="shared" si="49"/>
        <v>0.18954772139285303</v>
      </c>
      <c r="AW111" s="1">
        <f t="shared" si="50"/>
        <v>0.226044939374826</v>
      </c>
      <c r="AX111" s="1">
        <f t="shared" si="51"/>
        <v>0.22725122056319821</v>
      </c>
    </row>
    <row r="112" spans="4:50" x14ac:dyDescent="0.25">
      <c r="D112" s="1">
        <f>D111*'Enter data'!$C$77</f>
        <v>36410742.326255709</v>
      </c>
      <c r="E112">
        <f t="shared" si="32"/>
        <v>3.6410742326255706E-2</v>
      </c>
      <c r="G112" s="1">
        <f t="shared" si="52"/>
        <v>1.0788307967513547E-5</v>
      </c>
      <c r="H112" s="1">
        <f t="shared" si="53"/>
        <v>1.0788307967513547E-5</v>
      </c>
      <c r="I112" s="1">
        <f t="shared" si="54"/>
        <v>3.2589824239137881E-8</v>
      </c>
      <c r="J112" s="1">
        <f t="shared" si="55"/>
        <v>8.7586082389979015E-9</v>
      </c>
      <c r="K112" s="1">
        <f>'Enter data'!$C$86/D112</f>
        <v>8.2336266400100353</v>
      </c>
      <c r="L112" s="1"/>
      <c r="M112" s="24">
        <f>1+(2/PI())*ATAN(1.4*('Enter data'!C$32/G112)^2)</f>
        <v>1</v>
      </c>
      <c r="N112" s="24">
        <f>1+(2/PI())*ATAN(1.4*('Enter data'!D$32/H112)^2)</f>
        <v>1</v>
      </c>
      <c r="O112" s="1">
        <f t="shared" si="33"/>
        <v>0.51335042120014118</v>
      </c>
      <c r="P112" s="1">
        <f t="shared" si="34"/>
        <v>1.9101208255335931</v>
      </c>
      <c r="Q112" s="16">
        <f>8.686*O112/2/'Enter data'!C$46</f>
        <v>4.4461655906783852E-2</v>
      </c>
      <c r="R112" s="16">
        <f>8.686*P112/2/'Enter data'!C$46</f>
        <v>0.16543696348141454</v>
      </c>
      <c r="S112" s="16">
        <f t="shared" si="35"/>
        <v>1.3552077513650283E-2</v>
      </c>
      <c r="T112" s="16">
        <f t="shared" si="36"/>
        <v>5.0425799646858852E-2</v>
      </c>
      <c r="U112">
        <f t="shared" si="57"/>
        <v>2.423471246733734</v>
      </c>
      <c r="V112">
        <f>U112/(2*'Enter data'!$C$46)</f>
        <v>2.4165164562306978E-2</v>
      </c>
      <c r="W112">
        <f>V112*8.68588</f>
        <v>0.20989571956845091</v>
      </c>
      <c r="Y112" s="1"/>
      <c r="Z112" s="1">
        <f>4*PI()^2*D112*'Enter data'!$C$85*'Enter data'!$E$15*'Enter data'!$E$16/LN('Enter data'!$C$45)</f>
        <v>6.6206714087620387E-6</v>
      </c>
      <c r="AA112" s="16">
        <f>27.28753*'Enter data'!$E$15^0.5*'Enter data'!$E$16*D112/'Enter data'!$C$86</f>
        <v>1.4408008584506256E-3</v>
      </c>
      <c r="AB112" s="16">
        <f t="shared" si="56"/>
        <v>4.3916144185888366E-4</v>
      </c>
      <c r="AC112" s="19"/>
      <c r="AD112">
        <f>2*PI()/'Enter data'!$E$11/LN($C$3/$C$2)</f>
        <v>5.1880404392247992E-18</v>
      </c>
      <c r="AE112" s="14">
        <f>8.686*AD112*'Enter data'!$C$46/2</f>
        <v>1.1298253133715425E-15</v>
      </c>
      <c r="AF112" s="16">
        <f t="shared" si="38"/>
        <v>3.4437494311495441E-16</v>
      </c>
      <c r="AH112" s="1">
        <f t="shared" si="58"/>
        <v>0.21133942024665017</v>
      </c>
      <c r="AI112" s="16">
        <f t="shared" si="39"/>
        <v>6.4417038602368373E-2</v>
      </c>
      <c r="AK112" s="1">
        <f t="shared" si="40"/>
        <v>3.026776133675808E-2</v>
      </c>
      <c r="AL112" s="1">
        <f t="shared" si="41"/>
        <v>0.11262303269657123</v>
      </c>
      <c r="AM112" s="1">
        <f t="shared" si="42"/>
        <v>0.1428907940333293</v>
      </c>
      <c r="AN112" s="1">
        <f t="shared" si="43"/>
        <v>0.14433159489178107</v>
      </c>
      <c r="AP112" s="1">
        <f t="shared" si="44"/>
        <v>4.4461655906783852E-2</v>
      </c>
      <c r="AQ112" s="1">
        <f t="shared" si="45"/>
        <v>0.16543696348141454</v>
      </c>
      <c r="AR112" s="1">
        <f t="shared" si="46"/>
        <v>0.2098986193881984</v>
      </c>
      <c r="AS112" s="1">
        <f t="shared" si="47"/>
        <v>0.21133942024665017</v>
      </c>
      <c r="AU112" s="1">
        <f t="shared" si="48"/>
        <v>3.9969917118801011E-2</v>
      </c>
      <c r="AV112" s="1">
        <f t="shared" si="49"/>
        <v>0.2055488096471183</v>
      </c>
      <c r="AW112" s="1">
        <f t="shared" si="50"/>
        <v>0.24551872676591932</v>
      </c>
      <c r="AX112" s="1">
        <f t="shared" si="51"/>
        <v>0.24695952762437109</v>
      </c>
    </row>
    <row r="113" spans="4:50" x14ac:dyDescent="0.25">
      <c r="D113" s="1">
        <f>D112*'Enter data'!$C$77</f>
        <v>43489552.275399059</v>
      </c>
      <c r="E113">
        <f t="shared" si="32"/>
        <v>4.3489552275399058E-2</v>
      </c>
      <c r="G113" s="1">
        <f t="shared" si="52"/>
        <v>9.871329161950781E-6</v>
      </c>
      <c r="H113" s="1">
        <f t="shared" si="53"/>
        <v>9.871329161950781E-6</v>
      </c>
      <c r="I113" s="1">
        <f t="shared" si="54"/>
        <v>2.9763127978829594E-8</v>
      </c>
      <c r="J113" s="1">
        <f t="shared" si="55"/>
        <v>8.071021771651543E-9</v>
      </c>
      <c r="K113" s="1">
        <f>'Enter data'!$C$86/D113</f>
        <v>6.8934362925043269</v>
      </c>
      <c r="L113" s="1"/>
      <c r="M113" s="24">
        <f>1+(2/PI())*ATAN(1.4*('Enter data'!C$32/G113)^2)</f>
        <v>1</v>
      </c>
      <c r="N113" s="24">
        <f>1+(2/PI())*ATAN(1.4*('Enter data'!D$32/H113)^2)</f>
        <v>1</v>
      </c>
      <c r="O113" s="1">
        <f t="shared" si="33"/>
        <v>0.56210489743887104</v>
      </c>
      <c r="P113" s="1">
        <f t="shared" si="34"/>
        <v>2.0728478343054455</v>
      </c>
      <c r="Q113" s="16">
        <f>8.686*O113/2/'Enter data'!C$46</f>
        <v>4.8684316796735183E-2</v>
      </c>
      <c r="R113" s="16">
        <f>8.686*P113/2/'Enter data'!C$46</f>
        <v>0.1795308688761732</v>
      </c>
      <c r="S113" s="16">
        <f t="shared" si="35"/>
        <v>1.4839160203832961E-2</v>
      </c>
      <c r="T113" s="16">
        <f t="shared" si="36"/>
        <v>5.4721674249016458E-2</v>
      </c>
      <c r="U113">
        <f t="shared" si="57"/>
        <v>2.6349527317443164</v>
      </c>
      <c r="V113">
        <f>U113/(2*'Enter data'!$C$46)</f>
        <v>2.6273910392920607E-2</v>
      </c>
      <c r="W113">
        <f>V113*8.68588</f>
        <v>0.22821203280366123</v>
      </c>
      <c r="Y113" s="1"/>
      <c r="Z113" s="1">
        <f>4*PI()^2*D113*'Enter data'!$C$85*'Enter data'!$E$15*'Enter data'!$E$16/LN('Enter data'!$C$45)</f>
        <v>7.9078320554308169E-6</v>
      </c>
      <c r="AA113" s="16">
        <f>27.28753*'Enter data'!$E$15^0.5*'Enter data'!$E$16*D113/'Enter data'!$C$86</f>
        <v>1.7209147698931831E-3</v>
      </c>
      <c r="AB113" s="16">
        <f t="shared" si="56"/>
        <v>5.2454120028443769E-4</v>
      </c>
      <c r="AC113" s="19"/>
      <c r="AD113">
        <f>2*PI()/'Enter data'!$E$11/LN($C$3/$C$2)</f>
        <v>5.1880404392247992E-18</v>
      </c>
      <c r="AE113" s="14">
        <f>8.686*AD113*'Enter data'!$C$46/2</f>
        <v>1.1298253133715425E-15</v>
      </c>
      <c r="AF113" s="16">
        <f t="shared" si="38"/>
        <v>3.4437494311495441E-16</v>
      </c>
      <c r="AH113" s="1">
        <f t="shared" si="58"/>
        <v>0.22993610044280272</v>
      </c>
      <c r="AI113" s="16">
        <f t="shared" si="39"/>
        <v>7.0085375653134205E-2</v>
      </c>
      <c r="AK113" s="1">
        <f t="shared" si="40"/>
        <v>3.3142384186862238E-2</v>
      </c>
      <c r="AL113" s="1">
        <f t="shared" si="41"/>
        <v>0.12221761382701253</v>
      </c>
      <c r="AM113" s="1">
        <f t="shared" si="42"/>
        <v>0.15535999801387476</v>
      </c>
      <c r="AN113" s="1">
        <f t="shared" si="43"/>
        <v>0.15708091278376909</v>
      </c>
      <c r="AP113" s="1">
        <f t="shared" si="44"/>
        <v>4.8684316796735183E-2</v>
      </c>
      <c r="AQ113" s="1">
        <f t="shared" si="45"/>
        <v>0.1795308688761732</v>
      </c>
      <c r="AR113" s="1">
        <f t="shared" si="46"/>
        <v>0.22821518567290838</v>
      </c>
      <c r="AS113" s="1">
        <f t="shared" si="47"/>
        <v>0.22993610044280272</v>
      </c>
      <c r="AU113" s="1">
        <f t="shared" si="48"/>
        <v>4.3765983692345009E-2</v>
      </c>
      <c r="AV113" s="1">
        <f t="shared" si="49"/>
        <v>0.22305992334389013</v>
      </c>
      <c r="AW113" s="1">
        <f t="shared" si="50"/>
        <v>0.26682590703623515</v>
      </c>
      <c r="AX113" s="1">
        <f t="shared" si="51"/>
        <v>0.26854682180612943</v>
      </c>
    </row>
    <row r="114" spans="4:50" x14ac:dyDescent="0.25">
      <c r="D114" s="1">
        <f>D113*'Enter data'!$C$77</f>
        <v>51944592.070313975</v>
      </c>
      <c r="E114">
        <f t="shared" si="32"/>
        <v>5.1944592070313975E-2</v>
      </c>
      <c r="G114" s="1">
        <f t="shared" si="52"/>
        <v>9.0322912283378466E-6</v>
      </c>
      <c r="H114" s="1">
        <f t="shared" si="53"/>
        <v>9.0322912283378466E-6</v>
      </c>
      <c r="I114" s="1">
        <f t="shared" si="54"/>
        <v>2.7185796119259298E-8</v>
      </c>
      <c r="J114" s="1">
        <f t="shared" si="55"/>
        <v>7.4326218167684222E-9</v>
      </c>
      <c r="K114" s="1">
        <f>'Enter data'!$C$86/D114</f>
        <v>5.7713892062948666</v>
      </c>
      <c r="L114" s="1"/>
      <c r="M114" s="24">
        <f>1+(2/PI())*ATAN(1.4*('Enter data'!C$32/G114)^2)</f>
        <v>1</v>
      </c>
      <c r="N114" s="24">
        <f>1+(2/PI())*ATAN(1.4*('Enter data'!D$32/H114)^2)</f>
        <v>1</v>
      </c>
      <c r="O114" s="1">
        <f t="shared" si="33"/>
        <v>0.61539488954483579</v>
      </c>
      <c r="P114" s="1">
        <f t="shared" si="34"/>
        <v>2.2508881001124204</v>
      </c>
      <c r="Q114" s="16">
        <f>8.686*O114/2/'Enter data'!C$46</f>
        <v>5.3299802037307109E-2</v>
      </c>
      <c r="R114" s="16">
        <f>8.686*P114/2/'Enter data'!C$46</f>
        <v>0.19495106667664572</v>
      </c>
      <c r="S114" s="16">
        <f t="shared" si="35"/>
        <v>1.6245977212054105E-2</v>
      </c>
      <c r="T114" s="16">
        <f t="shared" si="36"/>
        <v>5.9421807692223147E-2</v>
      </c>
      <c r="U114">
        <f t="shared" si="57"/>
        <v>2.8662829896572561</v>
      </c>
      <c r="V114">
        <f>U114/(2*'Enter data'!$C$46)</f>
        <v>2.8580574339621558E-2</v>
      </c>
      <c r="W114">
        <f>V114*8.68588</f>
        <v>0.24824743904503208</v>
      </c>
      <c r="Y114" s="1"/>
      <c r="Z114" s="1">
        <f>4*PI()^2*D114*'Enter data'!$C$85*'Enter data'!$E$15*'Enter data'!$E$16/LN('Enter data'!$C$45)</f>
        <v>9.4452365864494773E-6</v>
      </c>
      <c r="AA114" s="16">
        <f>27.28753*'Enter data'!$E$15^0.5*'Enter data'!$E$16*D114/'Enter data'!$C$86</f>
        <v>2.0554871465174075E-3</v>
      </c>
      <c r="AB114" s="16">
        <f t="shared" si="56"/>
        <v>6.265201007429308E-4</v>
      </c>
      <c r="AC114" s="19"/>
      <c r="AD114">
        <f>2*PI()/'Enter data'!$E$11/LN($C$3/$C$2)</f>
        <v>5.1880404392247992E-18</v>
      </c>
      <c r="AE114" s="14">
        <f>8.686*AD114*'Enter data'!$C$46/2</f>
        <v>1.1298253133715425E-15</v>
      </c>
      <c r="AF114" s="16">
        <f t="shared" si="38"/>
        <v>3.4437494311495441E-16</v>
      </c>
      <c r="AH114" s="1">
        <f t="shared" si="58"/>
        <v>0.25030635586047134</v>
      </c>
      <c r="AI114" s="16">
        <f t="shared" si="39"/>
        <v>7.6294305005020518E-2</v>
      </c>
      <c r="AK114" s="1">
        <f t="shared" si="40"/>
        <v>3.6284426534719222E-2</v>
      </c>
      <c r="AL114" s="1">
        <f t="shared" si="41"/>
        <v>0.13271508310186</v>
      </c>
      <c r="AM114" s="1">
        <f t="shared" si="42"/>
        <v>0.16899950963657923</v>
      </c>
      <c r="AN114" s="1">
        <f t="shared" si="43"/>
        <v>0.17105499678309777</v>
      </c>
      <c r="AP114" s="1">
        <f t="shared" si="44"/>
        <v>5.3299802037307109E-2</v>
      </c>
      <c r="AQ114" s="1">
        <f t="shared" si="45"/>
        <v>0.19495106667664572</v>
      </c>
      <c r="AR114" s="1">
        <f t="shared" si="46"/>
        <v>0.24825086871395283</v>
      </c>
      <c r="AS114" s="1">
        <f t="shared" si="47"/>
        <v>0.2503063558604714</v>
      </c>
      <c r="AU114" s="1">
        <f t="shared" si="48"/>
        <v>4.7915189536488156E-2</v>
      </c>
      <c r="AV114" s="1">
        <f t="shared" si="49"/>
        <v>0.24221890230306523</v>
      </c>
      <c r="AW114" s="1">
        <f t="shared" si="50"/>
        <v>0.29013409183955341</v>
      </c>
      <c r="AX114" s="1">
        <f t="shared" si="51"/>
        <v>0.29218957898607195</v>
      </c>
    </row>
    <row r="115" spans="4:50" x14ac:dyDescent="0.25">
      <c r="D115" s="1">
        <f>D114*'Enter data'!$C$77</f>
        <v>62043422.021561071</v>
      </c>
      <c r="E115">
        <f t="shared" si="32"/>
        <v>6.2043422021561073E-2</v>
      </c>
      <c r="G115" s="1">
        <f t="shared" si="52"/>
        <v>8.26456939030756E-6</v>
      </c>
      <c r="H115" s="1">
        <f t="shared" si="53"/>
        <v>8.26456939030756E-6</v>
      </c>
      <c r="I115" s="1">
        <f t="shared" ref="I115:I156" si="59">2*PI()*G115*(C$3+G115-(C$4+G115)*EXP((C$3-C$4)/G115))</f>
        <v>2.4835228474004736E-8</v>
      </c>
      <c r="J115" s="1">
        <f t="shared" ref="J115:J156" si="60">2*PI()*H115*(C$2+H115*(EXP(-C$2/H115)-1))</f>
        <v>6.8407338740992547E-9</v>
      </c>
      <c r="K115" s="1">
        <f>'Enter data'!$C$86/D115</f>
        <v>4.831978124865798</v>
      </c>
      <c r="L115" s="1"/>
      <c r="M115" s="24">
        <f>1+(2/PI())*ATAN(1.4*('Enter data'!C$32/G115)^2)</f>
        <v>1</v>
      </c>
      <c r="N115" s="24">
        <f>1+(2/PI())*ATAN(1.4*('Enter data'!D$32/H115)^2)</f>
        <v>1</v>
      </c>
      <c r="O115" s="1">
        <f t="shared" si="33"/>
        <v>0.6736398667526432</v>
      </c>
      <c r="P115" s="1">
        <f t="shared" si="34"/>
        <v>2.4456440358459206</v>
      </c>
      <c r="Q115" s="16">
        <f>8.686*O115/2/'Enter data'!C$46</f>
        <v>5.834444216608644E-2</v>
      </c>
      <c r="R115" s="16">
        <f>8.686*P115/2/'Enter data'!C$46</f>
        <v>0.2118190208903438</v>
      </c>
      <c r="S115" s="16">
        <f t="shared" si="35"/>
        <v>1.7783602220826152E-2</v>
      </c>
      <c r="T115" s="16">
        <f t="shared" si="36"/>
        <v>6.4563222656164279E-2</v>
      </c>
      <c r="U115">
        <f t="shared" ref="U115:U156" si="61">O115+P115</f>
        <v>3.1192839025985637</v>
      </c>
      <c r="V115">
        <f>U115/(2*'Enter data'!$C$46)</f>
        <v>3.1103322939952823E-2</v>
      </c>
      <c r="W115">
        <f t="shared" ref="W115:W161" si="62">V115*8.68588</f>
        <v>0.2701597306576774</v>
      </c>
      <c r="Y115" s="1"/>
      <c r="Z115" s="1">
        <f>4*PI()^2*D115*'Enter data'!$C$85*'Enter data'!$E$15*'Enter data'!$E$16/LN('Enter data'!$C$45)</f>
        <v>1.1281536272983419E-5</v>
      </c>
      <c r="AA115" s="16">
        <f>27.28753*'Enter data'!$E$15^0.5*'Enter data'!$E$16*D115/'Enter data'!$C$86</f>
        <v>2.4551055539842456E-3</v>
      </c>
      <c r="AB115" s="16">
        <f t="shared" si="56"/>
        <v>7.4832527248971145E-4</v>
      </c>
      <c r="AD115">
        <f>2*PI()/'Enter data'!$E$11/LN($C$3/$C$2)</f>
        <v>5.1880404392247992E-18</v>
      </c>
      <c r="AE115" s="14">
        <f>8.686*AD115*'Enter data'!$C$46/2</f>
        <v>1.1298253133715425E-15</v>
      </c>
      <c r="AF115" s="16">
        <f t="shared" si="38"/>
        <v>3.4437494311495441E-16</v>
      </c>
      <c r="AH115" s="1">
        <f t="shared" si="58"/>
        <v>0.27261856861041561</v>
      </c>
      <c r="AI115" s="16">
        <f t="shared" si="39"/>
        <v>8.309515014948049E-2</v>
      </c>
      <c r="AK115" s="1">
        <f t="shared" si="40"/>
        <v>3.9718620793427167E-2</v>
      </c>
      <c r="AL115" s="1">
        <f t="shared" si="41"/>
        <v>0.14419812848033131</v>
      </c>
      <c r="AM115" s="1">
        <f t="shared" si="42"/>
        <v>0.18391674927375848</v>
      </c>
      <c r="AN115" s="1">
        <f t="shared" si="43"/>
        <v>0.18637185482774385</v>
      </c>
      <c r="AP115" s="1">
        <f t="shared" si="44"/>
        <v>5.834444216608644E-2</v>
      </c>
      <c r="AQ115" s="1">
        <f t="shared" si="45"/>
        <v>0.2118190208903438</v>
      </c>
      <c r="AR115" s="1">
        <f t="shared" si="46"/>
        <v>0.27016346305643024</v>
      </c>
      <c r="AS115" s="1">
        <f t="shared" si="47"/>
        <v>0.27261856861041561</v>
      </c>
      <c r="AU115" s="1">
        <f t="shared" si="48"/>
        <v>5.2450194896257553E-2</v>
      </c>
      <c r="AV115" s="1">
        <f t="shared" si="49"/>
        <v>0.26317666069541651</v>
      </c>
      <c r="AW115" s="1">
        <f t="shared" si="50"/>
        <v>0.31562685559167408</v>
      </c>
      <c r="AX115" s="1">
        <f t="shared" si="51"/>
        <v>0.31808196114565945</v>
      </c>
    </row>
    <row r="116" spans="4:50" x14ac:dyDescent="0.25">
      <c r="D116" s="1">
        <f>D115*'Enter data'!$C$77</f>
        <v>74105620.291230097</v>
      </c>
      <c r="E116">
        <f t="shared" si="32"/>
        <v>7.4105620291230093E-2</v>
      </c>
      <c r="G116" s="1">
        <f t="shared" si="52"/>
        <v>7.5621019606758242E-6</v>
      </c>
      <c r="H116" s="1">
        <f t="shared" si="53"/>
        <v>7.5621019606758242E-6</v>
      </c>
      <c r="I116" s="1">
        <f t="shared" si="59"/>
        <v>2.2690925808119447E-8</v>
      </c>
      <c r="J116" s="1">
        <f t="shared" si="60"/>
        <v>6.2926659360741471E-9</v>
      </c>
      <c r="K116" s="1">
        <f>'Enter data'!$C$86/D116</f>
        <v>4.0454753205200342</v>
      </c>
      <c r="L116" s="1"/>
      <c r="M116" s="24">
        <f>1+(2/PI())*ATAN(1.4*('Enter data'!C$32/G116)^2)</f>
        <v>1</v>
      </c>
      <c r="N116" s="24">
        <f>1+(2/PI())*ATAN(1.4*('Enter data'!D$32/H116)^2)</f>
        <v>1</v>
      </c>
      <c r="O116" s="1">
        <f t="shared" si="33"/>
        <v>0.73729913629233856</v>
      </c>
      <c r="P116" s="1">
        <f t="shared" si="34"/>
        <v>2.6586505894252941</v>
      </c>
      <c r="Q116" s="16">
        <f>8.686*O116/2/'Enter data'!C$46</f>
        <v>6.3858018118618187E-2</v>
      </c>
      <c r="R116" s="16">
        <f>8.686*P116/2/'Enter data'!C$46</f>
        <v>0.23026767448060487</v>
      </c>
      <c r="S116" s="16">
        <f t="shared" si="35"/>
        <v>1.9464160606747799E-2</v>
      </c>
      <c r="T116" s="16">
        <f t="shared" si="36"/>
        <v>7.018644064880665E-2</v>
      </c>
      <c r="U116">
        <f t="shared" si="61"/>
        <v>3.3959497257176325</v>
      </c>
      <c r="V116">
        <f>U116/(2*'Enter data'!$C$46)</f>
        <v>3.3862041514992294E-2</v>
      </c>
      <c r="W116">
        <f t="shared" si="62"/>
        <v>0.29412162915424123</v>
      </c>
      <c r="Y116" s="1"/>
      <c r="Z116" s="1">
        <f>4*PI()^2*D116*'Enter data'!$C$85*'Enter data'!$E$15*'Enter data'!$E$16/LN('Enter data'!$C$45)</f>
        <v>1.3474840943765422E-5</v>
      </c>
      <c r="AA116" s="16">
        <f>27.28753*'Enter data'!$E$15^0.5*'Enter data'!$E$16*D116/'Enter data'!$C$86</f>
        <v>2.9324159440338509E-3</v>
      </c>
      <c r="AB116" s="16">
        <f t="shared" si="56"/>
        <v>8.9381124848629935E-4</v>
      </c>
      <c r="AD116">
        <f>2*PI()/'Enter data'!$E$11/LN($C$3/$C$2)</f>
        <v>5.1880404392247992E-18</v>
      </c>
      <c r="AE116" s="14">
        <f>8.686*AD116*'Enter data'!$C$46/2</f>
        <v>1.1298253133715425E-15</v>
      </c>
      <c r="AF116" s="16">
        <f t="shared" si="38"/>
        <v>3.4437494311495441E-16</v>
      </c>
      <c r="AH116" s="1">
        <f t="shared" si="58"/>
        <v>0.29705810854325804</v>
      </c>
      <c r="AI116" s="16">
        <f t="shared" si="39"/>
        <v>9.0544412504041091E-2</v>
      </c>
      <c r="AK116" s="1">
        <f t="shared" si="40"/>
        <v>4.3472048272448632E-2</v>
      </c>
      <c r="AL116" s="1">
        <f t="shared" si="41"/>
        <v>0.15675725234709104</v>
      </c>
      <c r="AM116" s="1">
        <f t="shared" si="42"/>
        <v>0.20022930061953967</v>
      </c>
      <c r="AN116" s="1">
        <f t="shared" si="43"/>
        <v>0.20316171656357465</v>
      </c>
      <c r="AP116" s="1">
        <f t="shared" si="44"/>
        <v>6.3858018118618187E-2</v>
      </c>
      <c r="AQ116" s="1">
        <f t="shared" si="45"/>
        <v>0.23026767448060487</v>
      </c>
      <c r="AR116" s="1">
        <f t="shared" si="46"/>
        <v>0.29412569259922305</v>
      </c>
      <c r="AS116" s="1">
        <f t="shared" si="47"/>
        <v>0.29705810854325804</v>
      </c>
      <c r="AU116" s="1">
        <f t="shared" si="48"/>
        <v>5.7406761838184786E-2</v>
      </c>
      <c r="AV116" s="1">
        <f t="shared" si="49"/>
        <v>0.28609837483517231</v>
      </c>
      <c r="AW116" s="1">
        <f t="shared" si="50"/>
        <v>0.34350513667335708</v>
      </c>
      <c r="AX116" s="1">
        <f t="shared" si="51"/>
        <v>0.34643755261739206</v>
      </c>
    </row>
    <row r="117" spans="4:50" x14ac:dyDescent="0.25">
      <c r="D117" s="1">
        <f>D116*'Enter data'!$C$77</f>
        <v>88512895.965660006</v>
      </c>
      <c r="E117">
        <f t="shared" si="32"/>
        <v>8.8512895965660005E-2</v>
      </c>
      <c r="G117" s="1">
        <f t="shared" si="52"/>
        <v>6.9193424802897123E-6</v>
      </c>
      <c r="H117" s="1">
        <f t="shared" si="53"/>
        <v>6.9193424802897123E-6</v>
      </c>
      <c r="I117" s="1">
        <f t="shared" si="59"/>
        <v>2.0734311750335774E-8</v>
      </c>
      <c r="J117" s="1">
        <f t="shared" si="60"/>
        <v>5.7857495913745858E-9</v>
      </c>
      <c r="K117" s="1">
        <f>'Enter data'!$C$86/D117</f>
        <v>3.3869918584102061</v>
      </c>
      <c r="L117" s="1"/>
      <c r="M117" s="24">
        <f>1+(2/PI())*ATAN(1.4*('Enter data'!C$32/G117)^2)</f>
        <v>1</v>
      </c>
      <c r="N117" s="24">
        <f>1+(2/PI())*ATAN(1.4*('Enter data'!D$32/H117)^2)</f>
        <v>1</v>
      </c>
      <c r="O117" s="1">
        <f t="shared" si="33"/>
        <v>0.80687510641529125</v>
      </c>
      <c r="P117" s="1">
        <f t="shared" si="34"/>
        <v>2.8915872931903484</v>
      </c>
      <c r="Q117" s="16">
        <f>8.686*O117/2/'Enter data'!C$46</f>
        <v>6.9884043841467139E-2</v>
      </c>
      <c r="R117" s="16">
        <f>8.686*P117/2/'Enter data'!C$46</f>
        <v>0.25044249297330162</v>
      </c>
      <c r="S117" s="16">
        <f t="shared" si="35"/>
        <v>2.130091558201266E-2</v>
      </c>
      <c r="T117" s="16">
        <f t="shared" si="36"/>
        <v>7.6335800101591564E-2</v>
      </c>
      <c r="U117">
        <f t="shared" si="61"/>
        <v>3.6984623996056394</v>
      </c>
      <c r="V117">
        <f>U117/(2*'Enter data'!$C$46)</f>
        <v>3.6878486854106468E-2</v>
      </c>
      <c r="W117">
        <f t="shared" si="62"/>
        <v>0.32032211139634625</v>
      </c>
      <c r="Y117" s="1"/>
      <c r="Z117" s="1">
        <f>4*PI()^2*D117*'Enter data'!$C$85*'Enter data'!$E$15*'Enter data'!$E$16/LN('Enter data'!$C$45)</f>
        <v>1.6094557874586366E-5</v>
      </c>
      <c r="AA117" s="16">
        <f>27.28753*'Enter data'!$E$15^0.5*'Enter data'!$E$16*D117/'Enter data'!$C$86</f>
        <v>3.5025228364902804E-3</v>
      </c>
      <c r="AB117" s="16">
        <f t="shared" si="56"/>
        <v>1.0675819423586566E-3</v>
      </c>
      <c r="AD117">
        <f>2*PI()/'Enter data'!$E$11/LN($C$3/$C$2)</f>
        <v>5.1880404392247992E-18</v>
      </c>
      <c r="AE117" s="14">
        <f>8.686*AD117*'Enter data'!$C$46/2</f>
        <v>1.1298253133715425E-15</v>
      </c>
      <c r="AF117" s="16">
        <f t="shared" si="38"/>
        <v>3.4437494311495441E-16</v>
      </c>
      <c r="AH117" s="1">
        <f t="shared" si="58"/>
        <v>0.32382905965126013</v>
      </c>
      <c r="AI117" s="16">
        <f t="shared" si="39"/>
        <v>9.8704297625963208E-2</v>
      </c>
      <c r="AK117" s="1">
        <f t="shared" si="40"/>
        <v>4.7574331569561007E-2</v>
      </c>
      <c r="AL117" s="1">
        <f t="shared" si="41"/>
        <v>0.17049148195899777</v>
      </c>
      <c r="AM117" s="1">
        <f t="shared" si="42"/>
        <v>0.21806581352855878</v>
      </c>
      <c r="AN117" s="1">
        <f t="shared" si="43"/>
        <v>0.22156833636505019</v>
      </c>
      <c r="AP117" s="1">
        <f t="shared" si="44"/>
        <v>6.9884043841467139E-2</v>
      </c>
      <c r="AQ117" s="1">
        <f t="shared" si="45"/>
        <v>0.25044249297330162</v>
      </c>
      <c r="AR117" s="1">
        <f t="shared" si="46"/>
        <v>0.32032653681476875</v>
      </c>
      <c r="AS117" s="1">
        <f t="shared" si="47"/>
        <v>0.32382905965126013</v>
      </c>
      <c r="AU117" s="1">
        <f t="shared" si="48"/>
        <v>6.2824008312382926E-2</v>
      </c>
      <c r="AV117" s="1">
        <f t="shared" si="49"/>
        <v>0.31116477981960833</v>
      </c>
      <c r="AW117" s="1">
        <f t="shared" si="50"/>
        <v>0.37398878813199127</v>
      </c>
      <c r="AX117" s="1">
        <f t="shared" si="51"/>
        <v>0.37749131096848265</v>
      </c>
    </row>
    <row r="118" spans="4:50" x14ac:dyDescent="0.25">
      <c r="D118" s="1">
        <f>D117*'Enter data'!$C$77</f>
        <v>105721168.2654914</v>
      </c>
      <c r="E118">
        <f t="shared" si="32"/>
        <v>0.1057211682654914</v>
      </c>
      <c r="G118" s="1">
        <f t="shared" si="52"/>
        <v>6.3312159249520339E-6</v>
      </c>
      <c r="H118" s="1">
        <f t="shared" si="53"/>
        <v>6.3312159249520339E-6</v>
      </c>
      <c r="I118" s="1">
        <f t="shared" si="59"/>
        <v>1.8948552342055306E-8</v>
      </c>
      <c r="J118" s="1">
        <f t="shared" si="60"/>
        <v>5.317371348788502E-9</v>
      </c>
      <c r="K118" s="1">
        <f>'Enter data'!$C$86/D118</f>
        <v>2.8356899844991186</v>
      </c>
      <c r="L118" s="1"/>
      <c r="M118" s="24">
        <f>1+(2/PI())*ATAN(1.4*('Enter data'!C$32/G118)^2)</f>
        <v>1</v>
      </c>
      <c r="N118" s="24">
        <f>1+(2/PI())*ATAN(1.4*('Enter data'!D$32/H118)^2)</f>
        <v>1</v>
      </c>
      <c r="O118" s="1">
        <f t="shared" si="33"/>
        <v>0.88291705339772342</v>
      </c>
      <c r="P118" s="1">
        <f t="shared" si="34"/>
        <v>3.1462914478996709</v>
      </c>
      <c r="Q118" s="16">
        <f>8.686*O118/2/'Enter data'!C$46</f>
        <v>7.6470092555152053E-2</v>
      </c>
      <c r="R118" s="16">
        <f>8.686*P118/2/'Enter data'!C$46</f>
        <v>0.27250260633259116</v>
      </c>
      <c r="S118" s="16">
        <f t="shared" si="35"/>
        <v>2.3308367640560854E-2</v>
      </c>
      <c r="T118" s="16">
        <f t="shared" si="36"/>
        <v>8.3059804417395494E-2</v>
      </c>
      <c r="U118">
        <f t="shared" si="61"/>
        <v>4.0292085012973944</v>
      </c>
      <c r="V118">
        <f>U118/(2*'Enter data'!$C$46)</f>
        <v>4.0176456238515228E-2</v>
      </c>
      <c r="W118">
        <f t="shared" si="62"/>
        <v>0.34896787771299459</v>
      </c>
      <c r="Y118" s="1"/>
      <c r="Z118" s="1">
        <f>4*PI()^2*D118*'Enter data'!$C$85*'Enter data'!$E$15*'Enter data'!$E$16/LN('Enter data'!$C$45)</f>
        <v>1.9223588186268051E-5</v>
      </c>
      <c r="AA118" s="16">
        <f>27.28753*'Enter data'!$E$15^0.5*'Enter data'!$E$16*D118/'Enter data'!$C$86</f>
        <v>4.1834673028207708E-3</v>
      </c>
      <c r="AB118" s="16">
        <f t="shared" si="56"/>
        <v>1.2751363395576598E-3</v>
      </c>
      <c r="AD118">
        <f>2*PI()/'Enter data'!$E$11/LN($C$3/$C$2)</f>
        <v>5.1880404392247992E-18</v>
      </c>
      <c r="AE118" s="14">
        <f>8.686*AD118*'Enter data'!$C$46/2</f>
        <v>1.1298253133715425E-15</v>
      </c>
      <c r="AF118" s="16">
        <f t="shared" si="38"/>
        <v>3.4437494311495441E-16</v>
      </c>
      <c r="AH118" s="1">
        <f t="shared" si="58"/>
        <v>0.35315616619056506</v>
      </c>
      <c r="AI118" s="16">
        <f t="shared" si="39"/>
        <v>0.10764330839751433</v>
      </c>
      <c r="AK118" s="1">
        <f t="shared" si="40"/>
        <v>5.2057856677937865E-2</v>
      </c>
      <c r="AL118" s="1">
        <f t="shared" si="41"/>
        <v>0.18550914678958108</v>
      </c>
      <c r="AM118" s="1">
        <f t="shared" si="42"/>
        <v>0.23756700346751894</v>
      </c>
      <c r="AN118" s="1">
        <f t="shared" si="43"/>
        <v>0.24175047077034084</v>
      </c>
      <c r="AP118" s="1">
        <f t="shared" si="44"/>
        <v>7.6470092555152053E-2</v>
      </c>
      <c r="AQ118" s="1">
        <f t="shared" si="45"/>
        <v>0.27250260633259116</v>
      </c>
      <c r="AR118" s="1">
        <f t="shared" si="46"/>
        <v>0.34897269888774318</v>
      </c>
      <c r="AS118" s="1">
        <f t="shared" si="47"/>
        <v>0.35315616619056506</v>
      </c>
      <c r="AU118" s="1">
        <f t="shared" si="48"/>
        <v>6.8744701454767812E-2</v>
      </c>
      <c r="AV118" s="1">
        <f t="shared" si="49"/>
        <v>0.3385735882639912</v>
      </c>
      <c r="AW118" s="1">
        <f t="shared" si="50"/>
        <v>0.407318289718759</v>
      </c>
      <c r="AX118" s="1">
        <f t="shared" si="51"/>
        <v>0.41150175702158087</v>
      </c>
    </row>
    <row r="119" spans="4:50" x14ac:dyDescent="0.25">
      <c r="D119" s="1">
        <f>D118*'Enter data'!$C$77</f>
        <v>126274994.14047675</v>
      </c>
      <c r="E119">
        <f t="shared" si="32"/>
        <v>0.12627499414047674</v>
      </c>
      <c r="G119" s="1">
        <f t="shared" si="52"/>
        <v>5.7930786346462098E-6</v>
      </c>
      <c r="H119" s="1">
        <f t="shared" si="53"/>
        <v>5.7930786346462098E-6</v>
      </c>
      <c r="I119" s="1">
        <f t="shared" si="59"/>
        <v>1.7318385865515263E-8</v>
      </c>
      <c r="J119" s="1">
        <f t="shared" si="60"/>
        <v>4.8849959271163759E-9</v>
      </c>
      <c r="K119" s="1">
        <f>'Enter data'!$C$86/D119</f>
        <v>2.3741237134130517</v>
      </c>
      <c r="L119" s="1"/>
      <c r="M119" s="24">
        <f>1+(2/PI())*ATAN(1.4*('Enter data'!C$32/G119)^2)</f>
        <v>1</v>
      </c>
      <c r="N119" s="24">
        <f>1+(2/PI())*ATAN(1.4*('Enter data'!D$32/H119)^2)</f>
        <v>1</v>
      </c>
      <c r="O119" s="1">
        <f t="shared" si="33"/>
        <v>0.96602536344412626</v>
      </c>
      <c r="P119" s="1">
        <f t="shared" si="34"/>
        <v>3.4247725585875277</v>
      </c>
      <c r="Q119" s="16">
        <f>8.686*O119/2/'Enter data'!C$46</f>
        <v>8.3668164148506877E-2</v>
      </c>
      <c r="R119" s="16">
        <f>8.686*P119/2/'Enter data'!C$46</f>
        <v>0.29662205926105228</v>
      </c>
      <c r="S119" s="16">
        <f t="shared" si="35"/>
        <v>2.5502366541242036E-2</v>
      </c>
      <c r="T119" s="16">
        <f t="shared" si="36"/>
        <v>9.0411503066646026E-2</v>
      </c>
      <c r="U119">
        <f t="shared" si="61"/>
        <v>4.3907979220316538</v>
      </c>
      <c r="V119">
        <f>U119/(2*'Enter data'!$C$46)</f>
        <v>4.3781973682887304E-2</v>
      </c>
      <c r="W119">
        <f t="shared" si="62"/>
        <v>0.38028496957271712</v>
      </c>
      <c r="Y119" s="1"/>
      <c r="Z119" s="1">
        <f>4*PI()^2*D119*'Enter data'!$C$85*'Enter data'!$E$15*'Enter data'!$E$16/LN('Enter data'!$C$45)</f>
        <v>2.296095025628171E-5</v>
      </c>
      <c r="AA119" s="16">
        <f>27.28753*'Enter data'!$E$15^0.5*'Enter data'!$E$16*D119/'Enter data'!$C$86</f>
        <v>4.9967978770719028E-3</v>
      </c>
      <c r="AB119" s="16">
        <f t="shared" si="56"/>
        <v>1.5230425131284755E-3</v>
      </c>
      <c r="AD119">
        <f>2*PI()/'Enter data'!$E$11/LN($C$3/$C$2)</f>
        <v>5.1880404392247992E-18</v>
      </c>
      <c r="AE119" s="14">
        <f>8.686*AD119*'Enter data'!$C$46/2</f>
        <v>1.1298253133715425E-15</v>
      </c>
      <c r="AF119" s="16">
        <f t="shared" si="38"/>
        <v>3.4437494311495441E-16</v>
      </c>
      <c r="AH119" s="1">
        <f t="shared" si="58"/>
        <v>0.38528702128663217</v>
      </c>
      <c r="AI119" s="16">
        <f t="shared" si="39"/>
        <v>0.11743691212101687</v>
      </c>
      <c r="AK119" s="1">
        <f t="shared" si="40"/>
        <v>5.6958023093901688E-2</v>
      </c>
      <c r="AL119" s="1">
        <f t="shared" si="41"/>
        <v>0.2019287296846132</v>
      </c>
      <c r="AM119" s="1">
        <f t="shared" si="42"/>
        <v>0.25888675277851492</v>
      </c>
      <c r="AN119" s="1">
        <f t="shared" si="43"/>
        <v>0.26388355065558794</v>
      </c>
      <c r="AP119" s="1">
        <f t="shared" si="44"/>
        <v>8.3668164148506877E-2</v>
      </c>
      <c r="AQ119" s="1">
        <f t="shared" si="45"/>
        <v>0.29662205926105228</v>
      </c>
      <c r="AR119" s="1">
        <f t="shared" si="46"/>
        <v>0.38029022340955915</v>
      </c>
      <c r="AS119" s="1">
        <f t="shared" si="47"/>
        <v>0.38528702128663217</v>
      </c>
      <c r="AU119" s="1">
        <f t="shared" si="48"/>
        <v>7.5215587865403971E-2</v>
      </c>
      <c r="AV119" s="1">
        <f t="shared" si="49"/>
        <v>0.36854104374948699</v>
      </c>
      <c r="AW119" s="1">
        <f t="shared" si="50"/>
        <v>0.44375663161489098</v>
      </c>
      <c r="AX119" s="1">
        <f t="shared" si="51"/>
        <v>0.44875342949196401</v>
      </c>
    </row>
    <row r="120" spans="4:50" x14ac:dyDescent="0.25">
      <c r="D120" s="1">
        <f>D119*'Enter data'!$C$77</f>
        <v>150824800.8112694</v>
      </c>
      <c r="E120">
        <f t="shared" si="32"/>
        <v>0.15082480081126939</v>
      </c>
      <c r="G120" s="1">
        <f t="shared" si="52"/>
        <v>5.3006816486753532E-6</v>
      </c>
      <c r="H120" s="1">
        <f t="shared" si="53"/>
        <v>5.3006816486753532E-6</v>
      </c>
      <c r="I120" s="1">
        <f t="shared" si="59"/>
        <v>1.5829967650962845E-8</v>
      </c>
      <c r="J120" s="1">
        <f t="shared" si="60"/>
        <v>4.4861830302171742E-9</v>
      </c>
      <c r="K120" s="1">
        <f>'Enter data'!$C$86/D120</f>
        <v>1.9876867490455852</v>
      </c>
      <c r="L120" s="1"/>
      <c r="M120" s="24">
        <f>1+(2/PI())*ATAN(1.4*('Enter data'!C$32/G120)^2)</f>
        <v>1</v>
      </c>
      <c r="N120" s="24">
        <f>1+(2/PI())*ATAN(1.4*('Enter data'!D$32/H120)^2)</f>
        <v>1</v>
      </c>
      <c r="O120" s="1">
        <f t="shared" si="33"/>
        <v>1.0568562342565755</v>
      </c>
      <c r="P120" s="1">
        <f t="shared" si="34"/>
        <v>3.7292281405625372</v>
      </c>
      <c r="Q120" s="16">
        <f>8.686*O120/2/'Enter data'!C$46</f>
        <v>9.1535092385042136E-2</v>
      </c>
      <c r="R120" s="16">
        <f>8.686*P120/2/'Enter data'!C$46</f>
        <v>0.3229911801688054</v>
      </c>
      <c r="S120" s="16">
        <f t="shared" si="35"/>
        <v>2.7900235425823618E-2</v>
      </c>
      <c r="T120" s="16">
        <f t="shared" si="36"/>
        <v>9.8448908854183545E-2</v>
      </c>
      <c r="U120">
        <f t="shared" si="61"/>
        <v>4.7860843748191124</v>
      </c>
      <c r="V120">
        <f>U120/(2*'Enter data'!$C$46)</f>
        <v>4.7723494422501435E-2</v>
      </c>
      <c r="W120">
        <f t="shared" si="62"/>
        <v>0.41452054573451674</v>
      </c>
      <c r="Y120" s="1"/>
      <c r="Z120" s="1">
        <f>4*PI()^2*D120*'Enter data'!$C$85*'Enter data'!$E$15*'Enter data'!$E$16/LN('Enter data'!$C$45)</f>
        <v>2.7424913162051641E-5</v>
      </c>
      <c r="AA120" s="16">
        <f>27.28753*'Enter data'!$E$15^0.5*'Enter data'!$E$16*D120/'Enter data'!$C$86</f>
        <v>5.9682524606981405E-3</v>
      </c>
      <c r="AB120" s="16">
        <f t="shared" si="56"/>
        <v>1.8191454708297184E-3</v>
      </c>
      <c r="AD120">
        <f>2*PI()/'Enter data'!$E$11/LN($C$3/$C$2)</f>
        <v>5.1880404392247992E-18</v>
      </c>
      <c r="AE120" s="14">
        <f>8.686*AD120*'Enter data'!$C$46/2</f>
        <v>1.1298253133715425E-15</v>
      </c>
      <c r="AF120" s="16">
        <f t="shared" si="38"/>
        <v>3.4437494311495441E-16</v>
      </c>
      <c r="AH120" s="1">
        <f t="shared" si="58"/>
        <v>0.42049452501454682</v>
      </c>
      <c r="AI120" s="16">
        <f t="shared" si="39"/>
        <v>0.12816828975083724</v>
      </c>
      <c r="AK120" s="1">
        <f t="shared" si="40"/>
        <v>6.2313521027133667E-2</v>
      </c>
      <c r="AL120" s="1">
        <f>$R120*(1+$AM$3*($AK$6-25))</f>
        <v>0.21987979880289613</v>
      </c>
      <c r="AM120" s="1">
        <f t="shared" si="42"/>
        <v>0.28219331983002982</v>
      </c>
      <c r="AN120" s="1">
        <f t="shared" si="43"/>
        <v>0.28816157229072908</v>
      </c>
      <c r="AP120" s="1">
        <f t="shared" si="44"/>
        <v>9.1535092385042136E-2</v>
      </c>
      <c r="AQ120" s="1">
        <f t="shared" si="45"/>
        <v>0.3229911801688054</v>
      </c>
      <c r="AR120" s="1">
        <f t="shared" si="46"/>
        <v>0.41452627255384755</v>
      </c>
      <c r="AS120" s="1">
        <f t="shared" si="47"/>
        <v>0.42049452501454682</v>
      </c>
      <c r="AU120" s="1">
        <f t="shared" si="48"/>
        <v>8.228775967684325E-2</v>
      </c>
      <c r="AV120" s="1">
        <f t="shared" si="49"/>
        <v>0.40130362171253392</v>
      </c>
      <c r="AW120" s="1">
        <f t="shared" si="50"/>
        <v>0.48359138138937718</v>
      </c>
      <c r="AX120" s="1">
        <f t="shared" si="51"/>
        <v>0.48955963385007645</v>
      </c>
    </row>
    <row r="121" spans="4:50" x14ac:dyDescent="0.25">
      <c r="D121" s="1">
        <f>D120*'Enter data'!$C$77</f>
        <v>180147468.58315086</v>
      </c>
      <c r="E121">
        <f t="shared" si="32"/>
        <v>0.18014746858315087</v>
      </c>
      <c r="G121" s="1">
        <f t="shared" si="52"/>
        <v>4.850137157221513E-6</v>
      </c>
      <c r="H121" s="1">
        <f t="shared" si="53"/>
        <v>4.850137157221513E-6</v>
      </c>
      <c r="I121" s="1">
        <f t="shared" si="59"/>
        <v>1.4470730532004382E-8</v>
      </c>
      <c r="J121" s="1">
        <f t="shared" si="60"/>
        <v>4.1185988875549898E-9</v>
      </c>
      <c r="K121" s="1">
        <f>'Enter data'!$C$86/D121</f>
        <v>1.6641502673218218</v>
      </c>
      <c r="L121" s="1"/>
      <c r="M121" s="24">
        <f>1+(2/PI())*ATAN(1.4*('Enter data'!C$32/G121)^2)</f>
        <v>1</v>
      </c>
      <c r="N121" s="24">
        <f>1+(2/PI())*ATAN(1.4*('Enter data'!D$32/H121)^2)</f>
        <v>1</v>
      </c>
      <c r="O121" s="1">
        <f t="shared" si="33"/>
        <v>1.1561268425943581</v>
      </c>
      <c r="P121" s="1">
        <f t="shared" si="34"/>
        <v>4.0620610204485788</v>
      </c>
      <c r="Q121" s="16">
        <f>8.686*O121/2/'Enter data'!C$46</f>
        <v>0.10013299246906837</v>
      </c>
      <c r="R121" s="16">
        <f>8.686*P121/2/'Enter data'!C$46</f>
        <v>0.35181807962933515</v>
      </c>
      <c r="S121" s="16">
        <f t="shared" si="35"/>
        <v>3.0520907238804063E-2</v>
      </c>
      <c r="T121" s="16">
        <f t="shared" si="36"/>
        <v>0.10723545465414994</v>
      </c>
      <c r="U121">
        <f t="shared" si="61"/>
        <v>5.218187863042937</v>
      </c>
      <c r="V121">
        <f>U121/(2*'Enter data'!$C$46)</f>
        <v>5.2032128954455859E-2</v>
      </c>
      <c r="W121">
        <f t="shared" si="62"/>
        <v>0.45194482824292903</v>
      </c>
      <c r="Y121" s="1"/>
      <c r="Z121" s="1">
        <f>4*PI()^2*D121*'Enter data'!$C$85*'Enter data'!$E$15*'Enter data'!$E$16/LN('Enter data'!$C$45)</f>
        <v>3.2756739313970893E-5</v>
      </c>
      <c r="AA121" s="16">
        <f>27.28753*'Enter data'!$E$15^0.5*'Enter data'!$E$16*D121/'Enter data'!$C$86</f>
        <v>7.1285728002075137E-3</v>
      </c>
      <c r="AB121" s="16">
        <f t="shared" si="56"/>
        <v>2.1728154109386471E-3</v>
      </c>
      <c r="AD121">
        <f>2*PI()/'Enter data'!$E$11/LN($C$3/$C$2)</f>
        <v>5.1880404392247992E-18</v>
      </c>
      <c r="AE121" s="14">
        <f>8.686*AD121*'Enter data'!$C$46/2</f>
        <v>1.1298253133715425E-15</v>
      </c>
      <c r="AF121" s="16">
        <f t="shared" si="38"/>
        <v>3.4437494311495441E-16</v>
      </c>
      <c r="AH121" s="1">
        <f t="shared" si="58"/>
        <v>0.45907964489861214</v>
      </c>
      <c r="AI121" s="16">
        <f t="shared" si="39"/>
        <v>0.13992917730389298</v>
      </c>
      <c r="AK121" s="1">
        <f t="shared" si="40"/>
        <v>6.8166636086235452E-2</v>
      </c>
      <c r="AL121" s="1">
        <f t="shared" ref="AL121:AL157" si="63">$R121*(1+$AM$3*($AK$6-25))</f>
        <v>0.2395040277065458</v>
      </c>
      <c r="AM121" s="1">
        <f t="shared" si="42"/>
        <v>0.30767066379278124</v>
      </c>
      <c r="AN121" s="1">
        <f t="shared" si="43"/>
        <v>0.31479923659298986</v>
      </c>
      <c r="AP121" s="1">
        <f t="shared" si="44"/>
        <v>0.10013299246906837</v>
      </c>
      <c r="AQ121" s="1">
        <f t="shared" si="45"/>
        <v>0.35181807962933515</v>
      </c>
      <c r="AR121" s="1">
        <f t="shared" si="46"/>
        <v>0.45195107209840352</v>
      </c>
      <c r="AS121" s="1">
        <f t="shared" si="47"/>
        <v>0.45907964489861214</v>
      </c>
      <c r="AU121" s="1">
        <f t="shared" si="48"/>
        <v>9.0017056904880738E-2</v>
      </c>
      <c r="AV121" s="1">
        <f t="shared" si="49"/>
        <v>0.43711989121626371</v>
      </c>
      <c r="AW121" s="1">
        <f t="shared" si="50"/>
        <v>0.52713694812114442</v>
      </c>
      <c r="AX121" s="1">
        <f t="shared" si="51"/>
        <v>0.53426552092135304</v>
      </c>
    </row>
    <row r="122" spans="4:50" x14ac:dyDescent="0.25">
      <c r="D122" s="1">
        <f>D121*'Enter data'!$C$77</f>
        <v>215170915.27623937</v>
      </c>
      <c r="E122">
        <f t="shared" si="32"/>
        <v>0.21517091527623936</v>
      </c>
      <c r="G122" s="1">
        <f t="shared" si="52"/>
        <v>4.4378878044372686E-6</v>
      </c>
      <c r="H122" s="1">
        <f t="shared" si="53"/>
        <v>4.4378878044372686E-6</v>
      </c>
      <c r="I122" s="1">
        <f t="shared" si="59"/>
        <v>1.3229259961049558E-8</v>
      </c>
      <c r="J122" s="1">
        <f t="shared" si="60"/>
        <v>3.7800236220692084E-9</v>
      </c>
      <c r="K122" s="1">
        <f>'Enter data'!$C$86/D122</f>
        <v>1.393275934227088</v>
      </c>
      <c r="L122" s="1"/>
      <c r="M122" s="24">
        <f>1+(2/PI())*ATAN(1.4*('Enter data'!C$32/G122)^2)</f>
        <v>1</v>
      </c>
      <c r="N122" s="24">
        <f>1+(2/PI())*ATAN(1.4*('Enter data'!D$32/H122)^2)</f>
        <v>1</v>
      </c>
      <c r="O122" s="1">
        <f t="shared" si="33"/>
        <v>1.2646210029327074</v>
      </c>
      <c r="P122" s="1">
        <f t="shared" si="34"/>
        <v>4.4258982674933378</v>
      </c>
      <c r="Q122" s="16">
        <f>8.686*O122/2/'Enter data'!C$46</f>
        <v>0.10952975114627309</v>
      </c>
      <c r="R122" s="16">
        <f>8.686*P122/2/'Enter data'!C$46</f>
        <v>0.38333029003398722</v>
      </c>
      <c r="S122" s="16">
        <f t="shared" si="35"/>
        <v>3.3385074111885238E-2</v>
      </c>
      <c r="T122" s="16">
        <f t="shared" si="36"/>
        <v>0.1168404931827564</v>
      </c>
      <c r="U122">
        <f t="shared" si="61"/>
        <v>5.6905192704260452</v>
      </c>
      <c r="V122">
        <f>U122/(2*'Enter data'!$C$46)</f>
        <v>5.6741888231667086E-2</v>
      </c>
      <c r="W122">
        <f t="shared" si="62"/>
        <v>0.49285323215367244</v>
      </c>
      <c r="Y122" s="1"/>
      <c r="Z122" s="1">
        <f>4*PI()^2*D122*'Enter data'!$C$85*'Enter data'!$E$15*'Enter data'!$E$16/LN('Enter data'!$C$45)</f>
        <v>3.9125154714005878E-5</v>
      </c>
      <c r="AA122" s="16">
        <f>27.28753*'Enter data'!$E$15^0.5*'Enter data'!$E$16*D122/'Enter data'!$C$86</f>
        <v>8.5144773118250566E-3</v>
      </c>
      <c r="AB122" s="16">
        <f t="shared" si="56"/>
        <v>2.5952442428142696E-3</v>
      </c>
      <c r="AD122">
        <f>2*PI()/'Enter data'!$E$11/LN($C$3/$C$2)</f>
        <v>5.1880404392247992E-18</v>
      </c>
      <c r="AE122" s="14">
        <f>8.686*AD122*'Enter data'!$C$46/2</f>
        <v>1.1298253133715425E-15</v>
      </c>
      <c r="AF122" s="16">
        <f t="shared" si="38"/>
        <v>3.4437494311495441E-16</v>
      </c>
      <c r="AH122" s="1">
        <f t="shared" si="58"/>
        <v>0.50137451849208647</v>
      </c>
      <c r="AI122" s="16">
        <f t="shared" si="39"/>
        <v>0.15282081153745625</v>
      </c>
      <c r="AK122" s="1">
        <f t="shared" si="40"/>
        <v>7.4563582920088009E-2</v>
      </c>
      <c r="AL122" s="1">
        <f t="shared" si="63"/>
        <v>0.26095631157382715</v>
      </c>
      <c r="AM122" s="1">
        <f t="shared" si="42"/>
        <v>0.33551989449391517</v>
      </c>
      <c r="AN122" s="1">
        <f t="shared" si="43"/>
        <v>0.34403437180574131</v>
      </c>
      <c r="AP122" s="1">
        <f t="shared" si="44"/>
        <v>0.10952975114627309</v>
      </c>
      <c r="AQ122" s="1">
        <f t="shared" si="45"/>
        <v>0.38333029003398722</v>
      </c>
      <c r="AR122" s="1">
        <f t="shared" si="46"/>
        <v>0.49286004118026028</v>
      </c>
      <c r="AS122" s="1">
        <f t="shared" si="47"/>
        <v>0.50137451849208647</v>
      </c>
      <c r="AU122" s="1">
        <f t="shared" si="48"/>
        <v>9.8464508036720841E-2</v>
      </c>
      <c r="AV122" s="1">
        <f t="shared" si="49"/>
        <v>0.47627255215562775</v>
      </c>
      <c r="AW122" s="1">
        <f t="shared" si="50"/>
        <v>0.5747370601923486</v>
      </c>
      <c r="AX122" s="1">
        <f t="shared" si="51"/>
        <v>0.5832515375041748</v>
      </c>
    </row>
    <row r="123" spans="4:50" x14ac:dyDescent="0.25">
      <c r="D123" s="1">
        <f>D122*'Enter data'!$C$77</f>
        <v>257003460.24814951</v>
      </c>
      <c r="E123">
        <f t="shared" si="32"/>
        <v>0.25700346024814952</v>
      </c>
      <c r="G123" s="1">
        <f t="shared" si="52"/>
        <v>4.0606786006966416E-6</v>
      </c>
      <c r="H123" s="1">
        <f t="shared" si="53"/>
        <v>4.0606786006966416E-6</v>
      </c>
      <c r="I123" s="1">
        <f t="shared" si="59"/>
        <v>1.2095182314972034E-8</v>
      </c>
      <c r="J123" s="1">
        <f t="shared" si="60"/>
        <v>3.4683553188834894E-9</v>
      </c>
      <c r="K123" s="1">
        <f>'Enter data'!$C$86/D123</f>
        <v>1.166491913029247</v>
      </c>
      <c r="L123" s="1"/>
      <c r="M123" s="24">
        <f>1+(2/PI())*ATAN(1.4*('Enter data'!C$32/G123)^2)</f>
        <v>1</v>
      </c>
      <c r="N123" s="24">
        <f>1+(2/PI())*ATAN(1.4*('Enter data'!D$32/H123)^2)</f>
        <v>1</v>
      </c>
      <c r="O123" s="1">
        <f t="shared" si="33"/>
        <v>1.3831953553350538</v>
      </c>
      <c r="P123" s="1">
        <f t="shared" si="34"/>
        <v>4.8236119030000699</v>
      </c>
      <c r="Q123" s="16">
        <f>8.686*O123/2/'Enter data'!C$46</f>
        <v>0.11979956263986771</v>
      </c>
      <c r="R123" s="16">
        <f>8.686*P123/2/'Enter data'!C$46</f>
        <v>0.41777655925101831</v>
      </c>
      <c r="S123" s="16">
        <f t="shared" si="35"/>
        <v>3.6515350719296423E-2</v>
      </c>
      <c r="T123" s="16">
        <f t="shared" si="36"/>
        <v>0.12733984371220991</v>
      </c>
      <c r="U123">
        <f t="shared" si="61"/>
        <v>6.2068072583351235</v>
      </c>
      <c r="V123">
        <f>U123/(2*'Enter data'!$C$46)</f>
        <v>6.1889951864020958E-2</v>
      </c>
      <c r="W123">
        <f t="shared" si="62"/>
        <v>0.53756869509666227</v>
      </c>
      <c r="Y123" s="1"/>
      <c r="Z123" s="1">
        <f>4*PI()^2*D123*'Enter data'!$C$85*'Enter data'!$E$15*'Enter data'!$E$16/LN('Enter data'!$C$45)</f>
        <v>4.6731688301527994E-5</v>
      </c>
      <c r="AA123" s="16">
        <f>27.28753*'Enter data'!$E$15^0.5*'Enter data'!$E$16*D123/'Enter data'!$C$86</f>
        <v>1.0169823038276786E-2</v>
      </c>
      <c r="AB123" s="16">
        <f t="shared" si="56"/>
        <v>3.0997997556317927E-3</v>
      </c>
      <c r="AD123">
        <f>2*PI()/'Enter data'!$E$11/LN($C$3/$C$2)</f>
        <v>5.1880404392247992E-18</v>
      </c>
      <c r="AE123" s="14">
        <f>8.686*AD123*'Enter data'!$C$46/2</f>
        <v>1.1298253133715425E-15</v>
      </c>
      <c r="AF123" s="16">
        <f t="shared" si="38"/>
        <v>3.4437494311495441E-16</v>
      </c>
      <c r="AH123" s="1">
        <f t="shared" si="58"/>
        <v>0.54774594492916384</v>
      </c>
      <c r="AI123" s="16">
        <f t="shared" si="39"/>
        <v>0.16695499418713844</v>
      </c>
      <c r="AK123" s="1">
        <f t="shared" si="40"/>
        <v>8.1554870062278975E-2</v>
      </c>
      <c r="AL123" s="1">
        <f t="shared" si="63"/>
        <v>0.28440598825228247</v>
      </c>
      <c r="AM123" s="1">
        <f t="shared" si="42"/>
        <v>0.36596085831456143</v>
      </c>
      <c r="AN123" s="1">
        <f t="shared" si="43"/>
        <v>0.37613068135283934</v>
      </c>
      <c r="AP123" s="1">
        <f t="shared" si="44"/>
        <v>0.11979956263986771</v>
      </c>
      <c r="AQ123" s="1">
        <f t="shared" si="45"/>
        <v>0.41777655925101831</v>
      </c>
      <c r="AR123" s="1">
        <f t="shared" si="46"/>
        <v>0.53757612189088599</v>
      </c>
      <c r="AS123" s="1">
        <f t="shared" si="47"/>
        <v>0.54774594492916384</v>
      </c>
      <c r="AU123" s="1">
        <f t="shared" si="48"/>
        <v>0.10769681182417508</v>
      </c>
      <c r="AV123" s="1">
        <f t="shared" si="49"/>
        <v>0.51907066380702016</v>
      </c>
      <c r="AW123" s="1">
        <f t="shared" si="50"/>
        <v>0.62676747563119528</v>
      </c>
      <c r="AX123" s="1">
        <f t="shared" si="51"/>
        <v>0.63693729866947313</v>
      </c>
    </row>
    <row r="124" spans="4:50" x14ac:dyDescent="0.25">
      <c r="D124" s="1">
        <f>D123*'Enter data'!$C$77</f>
        <v>306968897.23560119</v>
      </c>
      <c r="E124">
        <f t="shared" si="32"/>
        <v>0.30696889723560117</v>
      </c>
      <c r="G124" s="1">
        <f t="shared" si="52"/>
        <v>3.715531222233429E-6</v>
      </c>
      <c r="H124" s="1">
        <f t="shared" si="53"/>
        <v>3.715531222233429E-6</v>
      </c>
      <c r="I124" s="1">
        <f t="shared" si="59"/>
        <v>1.1059064911963312E-8</v>
      </c>
      <c r="J124" s="1">
        <f t="shared" si="60"/>
        <v>3.1816115102181483E-9</v>
      </c>
      <c r="K124" s="1">
        <f>'Enter data'!$C$86/D124</f>
        <v>0.97662160792110086</v>
      </c>
      <c r="L124" s="1"/>
      <c r="M124" s="24">
        <f>1+(2/PI())*ATAN(1.4*('Enter data'!C$32/G124)^2)</f>
        <v>1</v>
      </c>
      <c r="N124" s="24">
        <f>1+(2/PI())*ATAN(1.4*('Enter data'!D$32/H124)^2)</f>
        <v>1</v>
      </c>
      <c r="O124" s="1">
        <f t="shared" si="33"/>
        <v>1.5127861291330398</v>
      </c>
      <c r="P124" s="1">
        <f t="shared" si="34"/>
        <v>5.25834154995652</v>
      </c>
      <c r="Q124" s="16">
        <f>8.686*O124/2/'Enter data'!C$46</f>
        <v>0.13102351445786678</v>
      </c>
      <c r="R124" s="16">
        <f>8.686*P124/2/'Enter data'!C$46</f>
        <v>0.45542881232654375</v>
      </c>
      <c r="S124" s="16">
        <f t="shared" si="35"/>
        <v>3.9936452834024257E-2</v>
      </c>
      <c r="T124" s="16">
        <f t="shared" si="36"/>
        <v>0.13881639000443299</v>
      </c>
      <c r="U124">
        <f t="shared" si="61"/>
        <v>6.7711276790895596</v>
      </c>
      <c r="V124">
        <f>U124/(2*'Enter data'!$C$46)</f>
        <v>6.7516961407369389E-2</v>
      </c>
      <c r="W124">
        <f t="shared" si="62"/>
        <v>0.58644422474904156</v>
      </c>
      <c r="Y124" s="1"/>
      <c r="Z124" s="1">
        <f>4*PI()^2*D124*'Enter data'!$C$85*'Enter data'!$E$15*'Enter data'!$E$16/LN('Enter data'!$C$45)</f>
        <v>5.5817049350335299E-5</v>
      </c>
      <c r="AA124" s="16">
        <f>27.28753*'Enter data'!$E$15^0.5*'Enter data'!$E$16*D124/'Enter data'!$C$86</f>
        <v>1.2146993507895831E-2</v>
      </c>
      <c r="AB124" s="16">
        <f t="shared" si="56"/>
        <v>3.7024486429821477E-3</v>
      </c>
      <c r="AD124">
        <f>2*PI()/'Enter data'!$E$11/LN($C$3/$C$2)</f>
        <v>5.1880404392247992E-18</v>
      </c>
      <c r="AE124" s="14">
        <f>8.686*AD124*'Enter data'!$C$46/2</f>
        <v>1.1298253133715425E-15</v>
      </c>
      <c r="AF124" s="16">
        <f t="shared" si="38"/>
        <v>3.4437494311495441E-16</v>
      </c>
      <c r="AH124" s="1">
        <f t="shared" si="58"/>
        <v>0.59859932029230745</v>
      </c>
      <c r="AI124" s="16">
        <f t="shared" si="39"/>
        <v>0.18245529148143971</v>
      </c>
      <c r="AK124" s="1">
        <f t="shared" si="40"/>
        <v>8.9195698725851841E-2</v>
      </c>
      <c r="AL124" s="1">
        <f t="shared" si="63"/>
        <v>0.31003817370823022</v>
      </c>
      <c r="AM124" s="1">
        <f t="shared" si="42"/>
        <v>0.39923387243408204</v>
      </c>
      <c r="AN124" s="1">
        <f t="shared" si="43"/>
        <v>0.41138086594197898</v>
      </c>
      <c r="AP124" s="1">
        <f t="shared" si="44"/>
        <v>0.13102351445786678</v>
      </c>
      <c r="AQ124" s="1">
        <f t="shared" si="45"/>
        <v>0.45542881232654375</v>
      </c>
      <c r="AR124" s="1">
        <f t="shared" si="46"/>
        <v>0.5864523267844105</v>
      </c>
      <c r="AS124" s="1">
        <f t="shared" si="47"/>
        <v>0.59859932029230745</v>
      </c>
      <c r="AU124" s="1">
        <f t="shared" si="48"/>
        <v>0.11778686390976079</v>
      </c>
      <c r="AV124" s="1">
        <f t="shared" si="49"/>
        <v>0.56585208216323746</v>
      </c>
      <c r="AW124" s="1">
        <f t="shared" si="50"/>
        <v>0.68363894607299824</v>
      </c>
      <c r="AX124" s="1">
        <f t="shared" si="51"/>
        <v>0.69578593958089519</v>
      </c>
    </row>
    <row r="125" spans="4:50" x14ac:dyDescent="0.25">
      <c r="D125" s="1">
        <f>D124*'Enter data'!$C$77</f>
        <v>366648385.89744067</v>
      </c>
      <c r="E125">
        <f t="shared" si="32"/>
        <v>0.3666483858974407</v>
      </c>
      <c r="G125" s="1">
        <f t="shared" si="52"/>
        <v>3.3997204952450684E-6</v>
      </c>
      <c r="H125" s="1">
        <f t="shared" si="53"/>
        <v>3.3997204952450684E-6</v>
      </c>
      <c r="I125" s="1">
        <f t="shared" si="59"/>
        <v>1.0112326396810029E-8</v>
      </c>
      <c r="J125" s="1">
        <f t="shared" si="60"/>
        <v>2.9179286603770528E-9</v>
      </c>
      <c r="K125" s="1">
        <f>'Enter data'!$C$86/D125</f>
        <v>0.81765656015695187</v>
      </c>
      <c r="L125" s="1"/>
      <c r="M125" s="24">
        <f>1+(2/PI())*ATAN(1.4*('Enter data'!C$32/G125)^2)</f>
        <v>1</v>
      </c>
      <c r="N125" s="24">
        <f>1+(2/PI())*ATAN(1.4*('Enter data'!D$32/H125)^2)</f>
        <v>1</v>
      </c>
      <c r="O125" s="1">
        <f t="shared" si="33"/>
        <v>1.6544165351780518</v>
      </c>
      <c r="P125" s="1">
        <f t="shared" si="34"/>
        <v>5.7335192005133404</v>
      </c>
      <c r="Q125" s="16">
        <f>8.686*O125/2/'Enter data'!C$46</f>
        <v>0.14329022764140645</v>
      </c>
      <c r="R125" s="16">
        <f>8.686*P125/2/'Enter data'!C$46</f>
        <v>0.49658429661398029</v>
      </c>
      <c r="S125" s="16">
        <f t="shared" si="35"/>
        <v>4.3675392477873214E-2</v>
      </c>
      <c r="T125" s="16">
        <f t="shared" si="36"/>
        <v>0.15136073415446849</v>
      </c>
      <c r="U125">
        <f t="shared" si="61"/>
        <v>7.3879357356913919</v>
      </c>
      <c r="V125">
        <f>U125/(2*'Enter data'!$C$46)</f>
        <v>7.3667341037921566E-2</v>
      </c>
      <c r="W125">
        <f t="shared" si="62"/>
        <v>0.6398656841744621</v>
      </c>
      <c r="Y125" s="1"/>
      <c r="Z125" s="1">
        <f>4*PI()^2*D125*'Enter data'!$C$85*'Enter data'!$E$15*'Enter data'!$E$16/LN('Enter data'!$C$45)</f>
        <v>6.666874473002711E-5</v>
      </c>
      <c r="AA125" s="16">
        <f>27.28753*'Enter data'!$E$15^0.5*'Enter data'!$E$16*D125/'Enter data'!$C$86</f>
        <v>1.4508556414946704E-2</v>
      </c>
      <c r="AB125" s="16">
        <f t="shared" si="56"/>
        <v>4.4222617699788778E-3</v>
      </c>
      <c r="AD125">
        <f>2*PI()/'Enter data'!$E$11/LN($C$3/$C$2)</f>
        <v>5.1880404392247992E-18</v>
      </c>
      <c r="AE125" s="14">
        <f>8.686*AD125*'Enter data'!$C$46/2</f>
        <v>1.1298253133715425E-15</v>
      </c>
      <c r="AF125" s="16">
        <f t="shared" si="38"/>
        <v>3.4437494311495441E-16</v>
      </c>
      <c r="AH125" s="1">
        <f t="shared" si="58"/>
        <v>0.65438308067033457</v>
      </c>
      <c r="AI125" s="16">
        <f t="shared" si="39"/>
        <v>0.19945838840232094</v>
      </c>
      <c r="AK125" s="1">
        <f t="shared" si="40"/>
        <v>9.7546398659391492E-2</v>
      </c>
      <c r="AL125" s="1">
        <f t="shared" si="63"/>
        <v>0.33805522234722979</v>
      </c>
      <c r="AM125" s="1">
        <f t="shared" si="42"/>
        <v>0.43560162100662125</v>
      </c>
      <c r="AN125" s="1">
        <f t="shared" si="43"/>
        <v>0.45011017742156906</v>
      </c>
      <c r="AP125" s="1">
        <f t="shared" si="44"/>
        <v>0.14329022764140645</v>
      </c>
      <c r="AQ125" s="1">
        <f t="shared" si="45"/>
        <v>0.49658429661398029</v>
      </c>
      <c r="AR125" s="1">
        <f t="shared" si="46"/>
        <v>0.63987452425538671</v>
      </c>
      <c r="AS125" s="1">
        <f t="shared" si="47"/>
        <v>0.65438308067033457</v>
      </c>
      <c r="AU125" s="1">
        <f t="shared" si="48"/>
        <v>0.12881433239393336</v>
      </c>
      <c r="AV125" s="1">
        <f t="shared" si="49"/>
        <v>0.61698612517100593</v>
      </c>
      <c r="AW125" s="1">
        <f t="shared" si="50"/>
        <v>0.74580045756493929</v>
      </c>
      <c r="AX125" s="1">
        <f t="shared" si="51"/>
        <v>0.76030901397988715</v>
      </c>
    </row>
    <row r="126" spans="4:50" x14ac:dyDescent="0.25">
      <c r="D126" s="1">
        <f>D125*'Enter data'!$C$77</f>
        <v>437930487.7198084</v>
      </c>
      <c r="E126">
        <f t="shared" si="32"/>
        <v>0.43793048771980841</v>
      </c>
      <c r="G126" s="1">
        <f t="shared" si="52"/>
        <v>3.1107528787880107E-6</v>
      </c>
      <c r="H126" s="1">
        <f t="shared" si="53"/>
        <v>3.1107528787880107E-6</v>
      </c>
      <c r="I126" s="1">
        <f t="shared" si="59"/>
        <v>9.2471563114032987E-9</v>
      </c>
      <c r="J126" s="1">
        <f t="shared" si="60"/>
        <v>2.6755601257798331E-9</v>
      </c>
      <c r="K126" s="1">
        <f>'Enter data'!$C$86/D126</f>
        <v>0.68456630996609158</v>
      </c>
      <c r="L126" s="1"/>
      <c r="M126" s="24">
        <f>1+(2/PI())*ATAN(1.4*('Enter data'!C$32/G126)^2)</f>
        <v>1</v>
      </c>
      <c r="N126" s="24">
        <f>1+(2/PI())*ATAN(1.4*('Enter data'!D$32/H126)^2)</f>
        <v>1</v>
      </c>
      <c r="O126" s="1">
        <f t="shared" si="33"/>
        <v>1.8092048448850269</v>
      </c>
      <c r="P126" s="1">
        <f t="shared" si="34"/>
        <v>6.2528962959200127</v>
      </c>
      <c r="Q126" s="16">
        <f>8.686*O126/2/'Enter data'!C$46</f>
        <v>0.15669655649664482</v>
      </c>
      <c r="R126" s="16">
        <f>8.686*P126/2/'Enter data'!C$46</f>
        <v>0.54156792718712687</v>
      </c>
      <c r="S126" s="16">
        <f t="shared" si="35"/>
        <v>4.776169120234236E-2</v>
      </c>
      <c r="T126" s="16">
        <f t="shared" si="36"/>
        <v>0.16507191148107989</v>
      </c>
      <c r="U126">
        <f t="shared" si="61"/>
        <v>8.0621011408050389</v>
      </c>
      <c r="V126">
        <f>U126/(2*'Enter data'!$C$46)</f>
        <v>8.0389648133061431E-2</v>
      </c>
      <c r="W126">
        <f t="shared" si="62"/>
        <v>0.69825483692599555</v>
      </c>
      <c r="Y126" s="1"/>
      <c r="Z126" s="1">
        <f>4*PI()^2*D126*'Enter data'!$C$85*'Enter data'!$E$15*'Enter data'!$E$16/LN('Enter data'!$C$45)</f>
        <v>7.9630177080487692E-5</v>
      </c>
      <c r="AA126" s="16">
        <f>27.28753*'Enter data'!$E$15^0.5*'Enter data'!$E$16*D126/'Enter data'!$C$86</f>
        <v>1.7329243578574599E-2</v>
      </c>
      <c r="AB126" s="16">
        <f t="shared" si="56"/>
        <v>5.2820176720844297E-3</v>
      </c>
      <c r="AD126">
        <f>2*PI()/'Enter data'!$E$11/LN($C$3/$C$2)</f>
        <v>5.1880404392247992E-18</v>
      </c>
      <c r="AE126" s="14">
        <f>8.686*AD126*'Enter data'!$C$46/2</f>
        <v>1.1298253133715425E-15</v>
      </c>
      <c r="AF126" s="16">
        <f t="shared" si="38"/>
        <v>3.4437494311495441E-16</v>
      </c>
      <c r="AH126" s="1">
        <f t="shared" si="58"/>
        <v>0.71559372726234738</v>
      </c>
      <c r="AI126" s="16">
        <f t="shared" si="39"/>
        <v>0.218115620355507</v>
      </c>
      <c r="AK126" s="1">
        <f t="shared" si="40"/>
        <v>0.10667290449721242</v>
      </c>
      <c r="AL126" s="1">
        <f t="shared" si="63"/>
        <v>0.36867832367983566</v>
      </c>
      <c r="AM126" s="1">
        <f t="shared" si="42"/>
        <v>0.47535122817704811</v>
      </c>
      <c r="AN126" s="1">
        <f t="shared" si="43"/>
        <v>0.49268047175562379</v>
      </c>
      <c r="AP126" s="1">
        <f t="shared" si="44"/>
        <v>0.15669655649664482</v>
      </c>
      <c r="AQ126" s="1">
        <f t="shared" si="45"/>
        <v>0.54156792718712687</v>
      </c>
      <c r="AR126" s="1">
        <f t="shared" si="46"/>
        <v>0.6982644836837717</v>
      </c>
      <c r="AS126" s="1">
        <f t="shared" si="47"/>
        <v>0.71559372726234738</v>
      </c>
      <c r="AU126" s="1">
        <f t="shared" si="48"/>
        <v>0.14086628687657127</v>
      </c>
      <c r="AV126" s="1">
        <f t="shared" si="49"/>
        <v>0.67287648681291756</v>
      </c>
      <c r="AW126" s="1">
        <f t="shared" si="50"/>
        <v>0.81374277368948889</v>
      </c>
      <c r="AX126" s="1">
        <f t="shared" si="51"/>
        <v>0.83107201726806457</v>
      </c>
    </row>
    <row r="127" spans="4:50" x14ac:dyDescent="0.25">
      <c r="D127" s="1">
        <f>D126*'Enter data'!$C$77</f>
        <v>523070929.67308211</v>
      </c>
      <c r="E127">
        <f t="shared" si="32"/>
        <v>0.52307092967308211</v>
      </c>
      <c r="G127" s="1">
        <f t="shared" si="52"/>
        <v>2.8463467765723914E-6</v>
      </c>
      <c r="H127" s="1">
        <f t="shared" si="53"/>
        <v>2.8463467765723914E-6</v>
      </c>
      <c r="I127" s="1">
        <f t="shared" si="59"/>
        <v>8.4564428148764466E-9</v>
      </c>
      <c r="J127" s="1">
        <f t="shared" si="60"/>
        <v>2.4528729749991064E-9</v>
      </c>
      <c r="K127" s="1">
        <f>'Enter data'!$C$86/D127</f>
        <v>0.57313920731050649</v>
      </c>
      <c r="L127" s="1"/>
      <c r="M127" s="24">
        <f>1+(2/PI())*ATAN(1.4*('Enter data'!C$32/G127)^2)</f>
        <v>1</v>
      </c>
      <c r="N127" s="24">
        <f>1+(2/PI())*ATAN(1.4*('Enter data'!D$32/H127)^2)</f>
        <v>1</v>
      </c>
      <c r="O127" s="1">
        <f t="shared" si="33"/>
        <v>1.9783732198329111</v>
      </c>
      <c r="P127" s="1">
        <f t="shared" si="34"/>
        <v>6.8205733319745576</v>
      </c>
      <c r="Q127" s="16">
        <f>8.686*O127/2/'Enter data'!C$46</f>
        <v>0.17134835333292361</v>
      </c>
      <c r="R127" s="16">
        <f>8.686*P127/2/'Enter data'!C$46</f>
        <v>0.59073485098984402</v>
      </c>
      <c r="S127" s="16">
        <f t="shared" si="35"/>
        <v>5.2227613183651427E-2</v>
      </c>
      <c r="T127" s="16">
        <f t="shared" si="36"/>
        <v>0.18005817208907704</v>
      </c>
      <c r="U127">
        <f t="shared" si="61"/>
        <v>8.7989465518074681</v>
      </c>
      <c r="V127">
        <f>U127/(2*'Enter data'!$C$46)</f>
        <v>8.7736956518854201E-2</v>
      </c>
      <c r="W127">
        <f t="shared" si="62"/>
        <v>0.76207267588798522</v>
      </c>
      <c r="Y127" s="1"/>
      <c r="Z127" s="1">
        <f>4*PI()^2*D127*'Enter data'!$C$85*'Enter data'!$E$15*'Enter data'!$E$16/LN('Enter data'!$C$45)</f>
        <v>9.511151181182959E-5</v>
      </c>
      <c r="AA127" s="16">
        <f>27.28753*'Enter data'!$E$15^0.5*'Enter data'!$E$16*D127/'Enter data'!$C$86</f>
        <v>2.0698315836315553E-2</v>
      </c>
      <c r="AB127" s="16">
        <f t="shared" si="56"/>
        <v>6.3089233834173223E-3</v>
      </c>
      <c r="AD127">
        <f>2*PI()/'Enter data'!$E$11/LN($C$3/$C$2)</f>
        <v>5.1880404392247992E-18</v>
      </c>
      <c r="AE127" s="14">
        <f>8.686*AD127*'Enter data'!$C$46/2</f>
        <v>1.1298253133715425E-15</v>
      </c>
      <c r="AF127" s="16">
        <f t="shared" si="38"/>
        <v>3.4437494311495441E-16</v>
      </c>
      <c r="AH127" s="1">
        <f t="shared" si="58"/>
        <v>0.78278152015908431</v>
      </c>
      <c r="AI127" s="16">
        <f t="shared" si="39"/>
        <v>0.23859470865614615</v>
      </c>
      <c r="AK127" s="1">
        <f t="shared" si="40"/>
        <v>0.1166472763632744</v>
      </c>
      <c r="AL127" s="1">
        <f t="shared" si="63"/>
        <v>0.40214924789469719</v>
      </c>
      <c r="AM127" s="1">
        <f t="shared" si="42"/>
        <v>0.51879652425797163</v>
      </c>
      <c r="AN127" s="1">
        <f t="shared" si="43"/>
        <v>0.53949484009428827</v>
      </c>
      <c r="AP127" s="1">
        <f t="shared" si="44"/>
        <v>0.17134835333292361</v>
      </c>
      <c r="AQ127" s="1">
        <f t="shared" si="45"/>
        <v>0.59073485098984402</v>
      </c>
      <c r="AR127" s="1">
        <f t="shared" si="46"/>
        <v>0.76208320432276766</v>
      </c>
      <c r="AS127" s="1">
        <f t="shared" si="47"/>
        <v>0.78278152015908431</v>
      </c>
      <c r="AU127" s="1">
        <f t="shared" si="48"/>
        <v>0.15403788593746501</v>
      </c>
      <c r="AV127" s="1">
        <f t="shared" si="49"/>
        <v>0.73396442296084152</v>
      </c>
      <c r="AW127" s="1">
        <f t="shared" si="50"/>
        <v>0.88800230889830656</v>
      </c>
      <c r="AX127" s="1">
        <f t="shared" si="51"/>
        <v>0.90870062473462321</v>
      </c>
    </row>
    <row r="128" spans="4:50" x14ac:dyDescent="0.25">
      <c r="D128" s="1">
        <f>D127*'Enter data'!$C$77</f>
        <v>624763986.84559286</v>
      </c>
      <c r="E128">
        <f t="shared" si="32"/>
        <v>0.62476398684559287</v>
      </c>
      <c r="G128" s="1">
        <f t="shared" si="52"/>
        <v>2.604414522204209E-6</v>
      </c>
      <c r="H128" s="1">
        <f t="shared" si="53"/>
        <v>2.604414522204209E-6</v>
      </c>
      <c r="I128" s="1">
        <f t="shared" si="59"/>
        <v>7.7337076469485128E-9</v>
      </c>
      <c r="J128" s="1">
        <f t="shared" si="60"/>
        <v>2.2483439794798507E-9</v>
      </c>
      <c r="K128" s="1">
        <f>'Enter data'!$C$86/D128</f>
        <v>0.47984913393238227</v>
      </c>
      <c r="L128" s="1"/>
      <c r="M128" s="24">
        <f>1+(2/PI())*ATAN(1.4*('Enter data'!C$32/G128)^2)</f>
        <v>1</v>
      </c>
      <c r="N128" s="24">
        <f>1+(2/PI())*ATAN(1.4*('Enter data'!D$32/H128)^2)</f>
        <v>1</v>
      </c>
      <c r="O128" s="1">
        <f t="shared" si="33"/>
        <v>2.163257361635742</v>
      </c>
      <c r="P128" s="1">
        <f t="shared" si="34"/>
        <v>7.4410322231344912</v>
      </c>
      <c r="Q128" s="16">
        <f>8.686*O128/2/'Enter data'!C$46</f>
        <v>0.18736130424516928</v>
      </c>
      <c r="R128" s="16">
        <f>8.686*P128/2/'Enter data'!C$46</f>
        <v>0.64447324991540433</v>
      </c>
      <c r="S128" s="16">
        <f t="shared" si="35"/>
        <v>5.7108419972314459E-2</v>
      </c>
      <c r="T128" s="16">
        <f t="shared" si="36"/>
        <v>0.19643783525829198</v>
      </c>
      <c r="U128">
        <f t="shared" si="61"/>
        <v>9.6042895847702336</v>
      </c>
      <c r="V128">
        <f>U128/(2*'Enter data'!$C$46)</f>
        <v>9.5767275404164603E-2</v>
      </c>
      <c r="W128">
        <f t="shared" si="62"/>
        <v>0.83182306208752521</v>
      </c>
      <c r="Y128" s="1"/>
      <c r="Z128" s="1">
        <f>4*PI()^2*D128*'Enter data'!$C$85*'Enter data'!$E$15*'Enter data'!$E$16/LN('Enter data'!$C$45)</f>
        <v>1.136026568167516E-4</v>
      </c>
      <c r="AA128" s="16">
        <f>27.28753*'Enter data'!$E$15^0.5*'Enter data'!$E$16*D128/'Enter data'!$C$86</f>
        <v>2.4722387709383824E-2</v>
      </c>
      <c r="AB128" s="16">
        <f t="shared" si="56"/>
        <v>7.5354754052011164E-3</v>
      </c>
      <c r="AD128">
        <f>2*PI()/'Enter data'!$E$11/LN($C$3/$C$2)</f>
        <v>5.1880404392247992E-18</v>
      </c>
      <c r="AE128" s="14">
        <f>8.686*AD128*'Enter data'!$C$46/2</f>
        <v>1.1298253133715425E-15</v>
      </c>
      <c r="AF128" s="16">
        <f t="shared" si="38"/>
        <v>3.4437494311495441E-16</v>
      </c>
      <c r="AH128" s="1">
        <f t="shared" si="58"/>
        <v>0.85655694186995857</v>
      </c>
      <c r="AI128" s="16">
        <f t="shared" si="39"/>
        <v>0.26108173063580786</v>
      </c>
      <c r="AK128" s="1">
        <f t="shared" si="40"/>
        <v>0.12754826883924567</v>
      </c>
      <c r="AL128" s="1">
        <f t="shared" si="63"/>
        <v>0.43873225408566052</v>
      </c>
      <c r="AM128" s="1">
        <f t="shared" si="42"/>
        <v>0.56628052292490616</v>
      </c>
      <c r="AN128" s="1">
        <f t="shared" si="43"/>
        <v>0.59100291063429111</v>
      </c>
      <c r="AP128" s="1">
        <f t="shared" si="44"/>
        <v>0.18736130424516928</v>
      </c>
      <c r="AQ128" s="1">
        <f t="shared" si="45"/>
        <v>0.64447324991540433</v>
      </c>
      <c r="AR128" s="1">
        <f t="shared" si="46"/>
        <v>0.83183455416057361</v>
      </c>
      <c r="AS128" s="1">
        <f t="shared" si="47"/>
        <v>0.85655694186995857</v>
      </c>
      <c r="AU128" s="1">
        <f t="shared" si="48"/>
        <v>0.16843312848380104</v>
      </c>
      <c r="AV128" s="1">
        <f t="shared" si="49"/>
        <v>0.80073223408989325</v>
      </c>
      <c r="AW128" s="1">
        <f t="shared" si="50"/>
        <v>0.96916536257369423</v>
      </c>
      <c r="AX128" s="1">
        <f t="shared" si="51"/>
        <v>0.99388775028307919</v>
      </c>
    </row>
    <row r="129" spans="4:50" x14ac:dyDescent="0.25">
      <c r="D129" s="1">
        <f>D128*'Enter data'!$C$77</f>
        <v>746227742.96242249</v>
      </c>
      <c r="E129">
        <f t="shared" si="32"/>
        <v>0.74622774296242245</v>
      </c>
      <c r="G129" s="1">
        <f t="shared" si="52"/>
        <v>2.3830458956362044E-6</v>
      </c>
      <c r="H129" s="1">
        <f t="shared" si="53"/>
        <v>2.3830458956362044E-6</v>
      </c>
      <c r="I129" s="1">
        <f t="shared" si="59"/>
        <v>7.073047539841376E-9</v>
      </c>
      <c r="J129" s="1">
        <f t="shared" si="60"/>
        <v>2.0605550244141942E-9</v>
      </c>
      <c r="K129" s="1">
        <f>'Enter data'!$C$86/D129</f>
        <v>0.40174391910151286</v>
      </c>
      <c r="L129" s="1"/>
      <c r="M129" s="24">
        <f>1+(2/PI())*ATAN(1.4*('Enter data'!C$32/G129)^2)</f>
        <v>1</v>
      </c>
      <c r="N129" s="24">
        <f>1+(2/PI())*ATAN(1.4*('Enter data'!D$32/H129)^2)</f>
        <v>1</v>
      </c>
      <c r="O129" s="1">
        <f t="shared" si="33"/>
        <v>2.3653170582782761</v>
      </c>
      <c r="P129" s="1">
        <f t="shared" si="34"/>
        <v>8.119171680337077</v>
      </c>
      <c r="Q129" s="16">
        <f>8.686*O129/2/'Enter data'!C$46</f>
        <v>0.20486184253974468</v>
      </c>
      <c r="R129" s="16">
        <f>8.686*P129/2/'Enter data'!C$46</f>
        <v>0.70320740490541145</v>
      </c>
      <c r="S129" s="16">
        <f t="shared" si="35"/>
        <v>6.2442648908724904E-2</v>
      </c>
      <c r="T129" s="16">
        <f t="shared" si="36"/>
        <v>0.21434022339228584</v>
      </c>
      <c r="U129">
        <f t="shared" si="61"/>
        <v>10.484488738615353</v>
      </c>
      <c r="V129">
        <f>U129/(2*'Enter data'!$C$46)</f>
        <v>0.10454400730430073</v>
      </c>
      <c r="W129">
        <f t="shared" si="62"/>
        <v>0.90805670216427958</v>
      </c>
      <c r="Y129" s="1"/>
      <c r="Z129" s="1">
        <f>4*PI()^2*D129*'Enter data'!$C$85*'Enter data'!$E$15*'Enter data'!$E$16/LN('Enter data'!$C$45)</f>
        <v>1.3568876563919253E-4</v>
      </c>
      <c r="AA129" s="16">
        <f>27.28753*'Enter data'!$E$15^0.5*'Enter data'!$E$16*D129/'Enter data'!$C$86</f>
        <v>2.9528801226461992E-2</v>
      </c>
      <c r="AB129" s="16">
        <f t="shared" si="56"/>
        <v>9.0004880597604215E-3</v>
      </c>
      <c r="AD129">
        <f>2*PI()/'Enter data'!$E$11/LN($C$3/$C$2)</f>
        <v>5.1880404392247992E-18</v>
      </c>
      <c r="AE129" s="14">
        <f>8.686*AD129*'Enter data'!$C$46/2</f>
        <v>1.1298253133715425E-15</v>
      </c>
      <c r="AF129" s="16">
        <f t="shared" si="38"/>
        <v>3.4437494311495441E-16</v>
      </c>
      <c r="AH129" s="1">
        <f t="shared" si="58"/>
        <v>0.93759804867161922</v>
      </c>
      <c r="AI129" s="16">
        <f t="shared" si="39"/>
        <v>0.28578336036077151</v>
      </c>
      <c r="AK129" s="1">
        <f t="shared" si="40"/>
        <v>0.13946195278919912</v>
      </c>
      <c r="AL129" s="1">
        <f t="shared" si="63"/>
        <v>0.47871617617081275</v>
      </c>
      <c r="AM129" s="1">
        <f t="shared" si="42"/>
        <v>0.6181781289600119</v>
      </c>
      <c r="AN129" s="1">
        <f t="shared" si="43"/>
        <v>0.64770693018647496</v>
      </c>
      <c r="AP129" s="1">
        <f t="shared" si="44"/>
        <v>0.20486184253974468</v>
      </c>
      <c r="AQ129" s="1">
        <f t="shared" si="45"/>
        <v>0.70320740490541145</v>
      </c>
      <c r="AR129" s="1">
        <f t="shared" si="46"/>
        <v>0.90806924744515616</v>
      </c>
      <c r="AS129" s="1">
        <f t="shared" si="47"/>
        <v>0.93759804867161922</v>
      </c>
      <c r="AU129" s="1">
        <f t="shared" si="48"/>
        <v>0.18416567489716698</v>
      </c>
      <c r="AV129" s="1">
        <f t="shared" si="49"/>
        <v>0.87370707229877742</v>
      </c>
      <c r="AW129" s="1">
        <f t="shared" si="50"/>
        <v>1.0578727471959444</v>
      </c>
      <c r="AX129" s="1">
        <f t="shared" si="51"/>
        <v>1.0874015484224075</v>
      </c>
    </row>
    <row r="130" spans="4:50" x14ac:dyDescent="0.25">
      <c r="D130" s="1">
        <f>D129*'Enter data'!$C$77</f>
        <v>891305926.86421168</v>
      </c>
      <c r="E130">
        <f t="shared" si="32"/>
        <v>0.89130592686421173</v>
      </c>
      <c r="G130" s="1">
        <f t="shared" si="52"/>
        <v>2.1804930406785999E-6</v>
      </c>
      <c r="H130" s="1">
        <f t="shared" si="53"/>
        <v>2.1804930406785999E-6</v>
      </c>
      <c r="I130" s="1">
        <f t="shared" si="59"/>
        <v>6.4690813808083322E-9</v>
      </c>
      <c r="J130" s="1">
        <f t="shared" si="60"/>
        <v>1.8881881389071309E-9</v>
      </c>
      <c r="K130" s="1">
        <f>'Enter data'!$C$86/D130</f>
        <v>0.33635191797133945</v>
      </c>
      <c r="L130" s="1"/>
      <c r="M130" s="24">
        <f>1+(2/PI())*ATAN(1.4*('Enter data'!C$32/G130)^2)</f>
        <v>1</v>
      </c>
      <c r="N130" s="24">
        <f>1+(2/PI())*ATAN(1.4*('Enter data'!D$32/H130)^2)</f>
        <v>1</v>
      </c>
      <c r="O130" s="1">
        <f t="shared" si="33"/>
        <v>2.5861477101884187</v>
      </c>
      <c r="P130" s="1">
        <f t="shared" si="34"/>
        <v>8.8603458814666638</v>
      </c>
      <c r="Q130" s="16">
        <f>8.686*O130/2/'Enter data'!C$46</f>
        <v>0.22398814701602282</v>
      </c>
      <c r="R130" s="16">
        <f>8.686*P130/2/'Enter data'!C$46</f>
        <v>0.76740104522729469</v>
      </c>
      <c r="S130" s="16">
        <f t="shared" si="35"/>
        <v>6.8272417403079377E-2</v>
      </c>
      <c r="T130" s="16">
        <f t="shared" si="36"/>
        <v>0.23390668289054337</v>
      </c>
      <c r="U130">
        <f t="shared" si="61"/>
        <v>11.446493591655083</v>
      </c>
      <c r="V130">
        <f>U130/(2*'Enter data'!$C$46)</f>
        <v>0.11413644856588966</v>
      </c>
      <c r="W130">
        <f t="shared" si="62"/>
        <v>0.99137549586948959</v>
      </c>
      <c r="Y130" s="1"/>
      <c r="Z130" s="1">
        <f>4*PI()^2*D130*'Enter data'!$C$85*'Enter data'!$E$15*'Enter data'!$E$16/LN('Enter data'!$C$45)</f>
        <v>1.6206875469811021E-4</v>
      </c>
      <c r="AA130" s="16">
        <f>27.28753*'Enter data'!$E$15^0.5*'Enter data'!$E$16*D130/'Enter data'!$C$86</f>
        <v>3.5269655670877573E-2</v>
      </c>
      <c r="AB130" s="16">
        <f t="shared" si="56"/>
        <v>1.0750321772396236E-2</v>
      </c>
      <c r="AD130">
        <f>2*PI()/'Enter data'!$E$11/LN($C$3/$C$2)</f>
        <v>5.1880404392247992E-18</v>
      </c>
      <c r="AE130" s="14">
        <f>8.686*AD130*'Enter data'!$C$46/2</f>
        <v>1.1298253133715425E-15</v>
      </c>
      <c r="AF130" s="16">
        <f t="shared" si="38"/>
        <v>3.4437494311495441E-16</v>
      </c>
      <c r="AH130" s="1">
        <f t="shared" si="58"/>
        <v>1.0266588479141963</v>
      </c>
      <c r="AI130" s="16">
        <f t="shared" si="39"/>
        <v>0.31292942206601931</v>
      </c>
      <c r="AK130" s="1">
        <f t="shared" si="40"/>
        <v>0.1524823949507747</v>
      </c>
      <c r="AL130" s="1">
        <f t="shared" si="63"/>
        <v>0.52241670294997833</v>
      </c>
      <c r="AM130" s="1">
        <f t="shared" si="42"/>
        <v>0.67489909790075298</v>
      </c>
      <c r="AN130" s="1">
        <f t="shared" si="43"/>
        <v>0.71016875357163167</v>
      </c>
      <c r="AP130" s="1">
        <f t="shared" si="44"/>
        <v>0.22398814701602282</v>
      </c>
      <c r="AQ130" s="1">
        <f t="shared" si="45"/>
        <v>0.76740104522729469</v>
      </c>
      <c r="AR130" s="1">
        <f t="shared" si="46"/>
        <v>0.99138919224331756</v>
      </c>
      <c r="AS130" s="1">
        <f t="shared" si="47"/>
        <v>1.0266588479141963</v>
      </c>
      <c r="AU130" s="1">
        <f t="shared" si="48"/>
        <v>0.20135974446372912</v>
      </c>
      <c r="AV130" s="1">
        <f t="shared" si="49"/>
        <v>0.95346510265310447</v>
      </c>
      <c r="AW130" s="1">
        <f t="shared" si="50"/>
        <v>1.1548248471168336</v>
      </c>
      <c r="AX130" s="1">
        <f t="shared" si="51"/>
        <v>1.1900945027877123</v>
      </c>
    </row>
    <row r="131" spans="4:50" x14ac:dyDescent="0.25">
      <c r="D131" s="1">
        <f>D130*'Enter data'!$C$77</f>
        <v>1064589547.5682899</v>
      </c>
      <c r="E131">
        <f t="shared" si="32"/>
        <v>1.0645895475682898</v>
      </c>
      <c r="G131" s="1">
        <f t="shared" si="52"/>
        <v>1.9951566644831572E-6</v>
      </c>
      <c r="H131" s="1">
        <f t="shared" si="53"/>
        <v>1.9951566644831572E-6</v>
      </c>
      <c r="I131" s="1">
        <f t="shared" si="59"/>
        <v>5.9169025110277582E-9</v>
      </c>
      <c r="J131" s="1">
        <f t="shared" si="60"/>
        <v>1.7300203032514653E-9</v>
      </c>
      <c r="K131" s="1">
        <f>'Enter data'!$C$86/D131</f>
        <v>0.28160379620932668</v>
      </c>
      <c r="L131" s="1"/>
      <c r="M131" s="24">
        <f>1+(2/PI())*ATAN(1.4*('Enter data'!C$32/G131)^2)</f>
        <v>1</v>
      </c>
      <c r="N131" s="24">
        <f>1+(2/PI())*ATAN(1.4*('Enter data'!D$32/H131)^2)</f>
        <v>1</v>
      </c>
      <c r="O131" s="1">
        <f t="shared" si="33"/>
        <v>2.8274929270541627</v>
      </c>
      <c r="P131" s="1">
        <f t="shared" si="34"/>
        <v>9.6704067394798834</v>
      </c>
      <c r="Q131" s="16">
        <f>8.686*O131/2/'Enter data'!C$46</f>
        <v>0.24489123298592655</v>
      </c>
      <c r="R131" s="16">
        <f>8.686*P131/2/'Enter data'!C$46</f>
        <v>0.83756100934758515</v>
      </c>
      <c r="S131" s="16">
        <f t="shared" si="35"/>
        <v>7.4643755482177068E-2</v>
      </c>
      <c r="T131" s="16">
        <f t="shared" si="36"/>
        <v>0.25529169999621587</v>
      </c>
      <c r="U131">
        <f t="shared" si="61"/>
        <v>12.497899666534046</v>
      </c>
      <c r="V131">
        <f>U131/(2*'Enter data'!$C$46)</f>
        <v>0.12462033644180424</v>
      </c>
      <c r="W131">
        <f t="shared" si="62"/>
        <v>1.0824372878931385</v>
      </c>
      <c r="Y131" s="1"/>
      <c r="Z131" s="1">
        <f>4*PI()^2*D131*'Enter data'!$C$85*'Enter data'!$E$15*'Enter data'!$E$16/LN('Enter data'!$C$45)</f>
        <v>1.9357742054519381E-4</v>
      </c>
      <c r="AA131" s="16">
        <f>27.28753*'Enter data'!$E$15^0.5*'Enter data'!$E$16*D131/'Enter data'!$C$86</f>
        <v>4.2126620772790203E-2</v>
      </c>
      <c r="AB131" s="16">
        <f t="shared" si="56"/>
        <v>1.284035015020428E-2</v>
      </c>
      <c r="AD131">
        <f>2*PI()/'Enter data'!$E$11/LN($C$3/$C$2)</f>
        <v>5.1880404392247992E-18</v>
      </c>
      <c r="AE131" s="14">
        <f>8.686*AD131*'Enter data'!$C$46/2</f>
        <v>1.1298253133715425E-15</v>
      </c>
      <c r="AF131" s="16">
        <f t="shared" si="38"/>
        <v>3.4437494311495441E-16</v>
      </c>
      <c r="AH131" s="1">
        <f t="shared" si="58"/>
        <v>1.124578863106303</v>
      </c>
      <c r="AI131" s="16">
        <f t="shared" si="39"/>
        <v>0.34277580562859755</v>
      </c>
      <c r="AK131" s="1">
        <f t="shared" si="40"/>
        <v>0.16671240065873233</v>
      </c>
      <c r="AL131" s="1">
        <f t="shared" si="63"/>
        <v>0.57017887028447134</v>
      </c>
      <c r="AM131" s="1">
        <f t="shared" si="42"/>
        <v>0.73689127094320361</v>
      </c>
      <c r="AN131" s="1">
        <f t="shared" si="43"/>
        <v>0.77901789171599489</v>
      </c>
      <c r="AP131" s="1">
        <f t="shared" si="44"/>
        <v>0.24489123298592655</v>
      </c>
      <c r="AQ131" s="1">
        <f t="shared" si="45"/>
        <v>0.83756100934758515</v>
      </c>
      <c r="AR131" s="1">
        <f t="shared" si="46"/>
        <v>1.0824522423335117</v>
      </c>
      <c r="AS131" s="1">
        <f t="shared" si="47"/>
        <v>1.124578863106303</v>
      </c>
      <c r="AU131" s="1">
        <f t="shared" si="48"/>
        <v>0.22015109617352333</v>
      </c>
      <c r="AV131" s="1">
        <f t="shared" si="49"/>
        <v>1.0406360516740005</v>
      </c>
      <c r="AW131" s="1">
        <f t="shared" si="50"/>
        <v>1.2607871478475239</v>
      </c>
      <c r="AX131" s="1">
        <f t="shared" si="51"/>
        <v>1.3029137686203152</v>
      </c>
    </row>
    <row r="132" spans="4:50" x14ac:dyDescent="0.25">
      <c r="D132" s="1">
        <f>D131*'Enter data'!$C$77</f>
        <v>1271562177.0619276</v>
      </c>
      <c r="E132">
        <f t="shared" si="32"/>
        <v>1.2715621770619276</v>
      </c>
      <c r="G132" s="1">
        <f t="shared" si="52"/>
        <v>1.8255734100360726E-6</v>
      </c>
      <c r="H132" s="1">
        <f t="shared" si="53"/>
        <v>1.8255734100360726E-6</v>
      </c>
      <c r="I132" s="1">
        <f t="shared" si="59"/>
        <v>5.4120356192458563E-9</v>
      </c>
      <c r="J132" s="1">
        <f t="shared" si="60"/>
        <v>1.5849181572951391E-9</v>
      </c>
      <c r="K132" s="1">
        <f>'Enter data'!$C$86/D132</f>
        <v>0.23576704577097493</v>
      </c>
      <c r="L132" s="1"/>
      <c r="M132" s="24">
        <f>1+(2/PI())*ATAN(1.4*('Enter data'!C$32/G132)^2)</f>
        <v>1</v>
      </c>
      <c r="N132" s="24">
        <f>1+(2/PI())*ATAN(1.4*('Enter data'!D$32/H132)^2)</f>
        <v>1</v>
      </c>
      <c r="O132" s="1">
        <f t="shared" si="33"/>
        <v>3.0912582948467833</v>
      </c>
      <c r="P132" s="1">
        <f t="shared" si="34"/>
        <v>10.555750101665716</v>
      </c>
      <c r="Q132" s="16">
        <f>8.686*O132/2/'Enter data'!C$46</f>
        <v>0.26773614464588907</v>
      </c>
      <c r="R132" s="16">
        <f>8.686*P132/2/'Enter data'!C$46</f>
        <v>0.91424124628366177</v>
      </c>
      <c r="S132" s="16">
        <f t="shared" si="35"/>
        <v>8.1606969228812803E-2</v>
      </c>
      <c r="T132" s="16">
        <f t="shared" si="36"/>
        <v>0.27866412042296446</v>
      </c>
      <c r="U132">
        <f t="shared" si="61"/>
        <v>13.647008396512499</v>
      </c>
      <c r="V132">
        <f>U132/(2*'Enter data'!$C$46)</f>
        <v>0.13607844703310509</v>
      </c>
      <c r="W132">
        <f t="shared" si="62"/>
        <v>1.1819610615159069</v>
      </c>
      <c r="Y132" s="1"/>
      <c r="Z132" s="1">
        <f>4*PI()^2*D132*'Enter data'!$C$85*'Enter data'!$E$15*'Enter data'!$E$16/LN('Enter data'!$C$45)</f>
        <v>2.3121185705863746E-4</v>
      </c>
      <c r="AA132" s="16">
        <f>27.28753*'Enter data'!$E$15^0.5*'Enter data'!$E$16*D132/'Enter data'!$C$86</f>
        <v>5.0316685660184171E-2</v>
      </c>
      <c r="AB132" s="16">
        <f t="shared" si="56"/>
        <v>1.5336712283645504E-2</v>
      </c>
      <c r="AD132">
        <f>2*PI()/'Enter data'!$E$11/LN($C$3/$C$2)</f>
        <v>5.1880404392247992E-18</v>
      </c>
      <c r="AE132" s="14">
        <f>8.686*AD132*'Enter data'!$C$46/2</f>
        <v>1.1298253133715425E-15</v>
      </c>
      <c r="AF132" s="16">
        <f t="shared" si="38"/>
        <v>3.4437494311495441E-16</v>
      </c>
      <c r="AH132" s="1">
        <f t="shared" si="58"/>
        <v>1.2322940765897361</v>
      </c>
      <c r="AI132" s="16">
        <f t="shared" si="39"/>
        <v>0.37560780193542309</v>
      </c>
      <c r="AK132" s="1">
        <f t="shared" si="40"/>
        <v>0.18226432556528008</v>
      </c>
      <c r="AL132" s="1">
        <f t="shared" si="63"/>
        <v>0.62237978506131186</v>
      </c>
      <c r="AM132" s="1">
        <f t="shared" si="42"/>
        <v>0.80464411062659191</v>
      </c>
      <c r="AN132" s="1">
        <f t="shared" si="43"/>
        <v>0.85496079628677724</v>
      </c>
      <c r="AP132" s="1">
        <f t="shared" si="44"/>
        <v>0.26773614464588907</v>
      </c>
      <c r="AQ132" s="1">
        <f t="shared" si="45"/>
        <v>0.91424124628366177</v>
      </c>
      <c r="AR132" s="1">
        <f t="shared" si="46"/>
        <v>1.1819773909295508</v>
      </c>
      <c r="AS132" s="1">
        <f t="shared" si="47"/>
        <v>1.2322940765897361</v>
      </c>
      <c r="AU132" s="1">
        <f t="shared" si="48"/>
        <v>0.24068810063303811</v>
      </c>
      <c r="AV132" s="1">
        <f t="shared" si="49"/>
        <v>1.1359081788575982</v>
      </c>
      <c r="AW132" s="1">
        <f t="shared" si="50"/>
        <v>1.3765962794906363</v>
      </c>
      <c r="AX132" s="1">
        <f t="shared" si="51"/>
        <v>1.4269129651508217</v>
      </c>
    </row>
    <row r="133" spans="4:50" x14ac:dyDescent="0.25">
      <c r="D133" s="1">
        <f>D132*'Enter data'!$C$77</f>
        <v>1518773478.3116043</v>
      </c>
      <c r="E133">
        <f t="shared" si="32"/>
        <v>1.5187734783116043</v>
      </c>
      <c r="G133" s="1">
        <f t="shared" si="52"/>
        <v>1.6704043019569452E-6</v>
      </c>
      <c r="H133" s="1">
        <f t="shared" si="53"/>
        <v>1.6704043019569452E-6</v>
      </c>
      <c r="I133" s="1">
        <f t="shared" si="59"/>
        <v>4.9503977516855508E-9</v>
      </c>
      <c r="J133" s="1">
        <f t="shared" si="60"/>
        <v>1.4518327062487744E-9</v>
      </c>
      <c r="K133" s="1">
        <f>'Enter data'!$C$86/D133</f>
        <v>0.19739115956467346</v>
      </c>
      <c r="L133" s="1"/>
      <c r="M133" s="24">
        <f>1+(2/PI())*ATAN(1.4*('Enter data'!C$32/G133)^2)</f>
        <v>1</v>
      </c>
      <c r="N133" s="24">
        <f>1+(2/PI())*ATAN(1.4*('Enter data'!D$32/H133)^2)</f>
        <v>1</v>
      </c>
      <c r="O133" s="1">
        <f t="shared" si="33"/>
        <v>3.3795264217513914</v>
      </c>
      <c r="P133" s="1">
        <f t="shared" si="34"/>
        <v>11.523366244604551</v>
      </c>
      <c r="Q133" s="16">
        <f>8.686*O133/2/'Enter data'!C$46</f>
        <v>0.29270325821591736</v>
      </c>
      <c r="R133" s="16">
        <f>8.686*P133/2/'Enter data'!C$46</f>
        <v>0.9980471890091337</v>
      </c>
      <c r="S133" s="16">
        <f t="shared" si="35"/>
        <v>8.9217037983393491E-2</v>
      </c>
      <c r="T133" s="16">
        <f t="shared" si="36"/>
        <v>0.30420848238512976</v>
      </c>
      <c r="U133">
        <f t="shared" si="61"/>
        <v>14.902892666355942</v>
      </c>
      <c r="V133">
        <f>U133/(2*'Enter data'!$C$46)</f>
        <v>0.14860124881706782</v>
      </c>
      <c r="W133">
        <f t="shared" si="62"/>
        <v>1.290732615075193</v>
      </c>
      <c r="Y133" s="1"/>
      <c r="Z133" s="1">
        <f>4*PI()^2*D133*'Enter data'!$C$85*'Enter data'!$E$15*'Enter data'!$E$16/LN('Enter data'!$C$45)</f>
        <v>2.7616300854687198E-4</v>
      </c>
      <c r="AA133" s="16">
        <f>27.28753*'Enter data'!$E$15^0.5*'Enter data'!$E$16*D133/'Enter data'!$C$86</f>
        <v>6.0099025494612331E-2</v>
      </c>
      <c r="AB133" s="16">
        <f t="shared" si="56"/>
        <v>1.8318405722571422E-2</v>
      </c>
      <c r="AD133">
        <f>2*PI()/'Enter data'!$E$11/LN($C$3/$C$2)</f>
        <v>5.1880404392247992E-18</v>
      </c>
      <c r="AE133" s="14">
        <f>8.686*AD133*'Enter data'!$C$46/2</f>
        <v>1.1298253133715425E-15</v>
      </c>
      <c r="AF133" s="16">
        <f t="shared" si="38"/>
        <v>3.4437494311495441E-16</v>
      </c>
      <c r="AH133" s="1">
        <f t="shared" si="58"/>
        <v>1.3508494727196645</v>
      </c>
      <c r="AI133" s="16">
        <f t="shared" si="39"/>
        <v>0.411743926091095</v>
      </c>
      <c r="AK133" s="1">
        <f t="shared" si="40"/>
        <v>0.1992609627663261</v>
      </c>
      <c r="AL133" s="1">
        <f t="shared" si="63"/>
        <v>0.67943160243704681</v>
      </c>
      <c r="AM133" s="1">
        <f t="shared" si="42"/>
        <v>0.87869256520337291</v>
      </c>
      <c r="AN133" s="1">
        <f t="shared" si="43"/>
        <v>0.93879159069798634</v>
      </c>
      <c r="AP133" s="1">
        <f t="shared" si="44"/>
        <v>0.29270325821591736</v>
      </c>
      <c r="AQ133" s="1">
        <f t="shared" si="45"/>
        <v>0.9980471890091337</v>
      </c>
      <c r="AR133" s="1">
        <f t="shared" si="46"/>
        <v>1.2907504472250511</v>
      </c>
      <c r="AS133" s="1">
        <f t="shared" si="47"/>
        <v>1.3508494727196645</v>
      </c>
      <c r="AU133" s="1">
        <f t="shared" si="48"/>
        <v>0.26313291155465429</v>
      </c>
      <c r="AV133" s="1">
        <f t="shared" si="49"/>
        <v>1.2400337104562882</v>
      </c>
      <c r="AW133" s="1">
        <f t="shared" si="50"/>
        <v>1.5031666220109425</v>
      </c>
      <c r="AX133" s="1">
        <f t="shared" si="51"/>
        <v>1.563265647505556</v>
      </c>
    </row>
    <row r="134" spans="4:50" x14ac:dyDescent="0.25">
      <c r="D134" s="1">
        <f>D133*'Enter data'!$C$77</f>
        <v>1814046469.7939734</v>
      </c>
      <c r="E134">
        <f t="shared" si="32"/>
        <v>1.8140464697939735</v>
      </c>
      <c r="G134" s="1">
        <f t="shared" si="52"/>
        <v>1.5284241743755101E-6</v>
      </c>
      <c r="H134" s="1">
        <f t="shared" si="53"/>
        <v>1.5284241743755101E-6</v>
      </c>
      <c r="I134" s="1">
        <f t="shared" si="59"/>
        <v>4.5282630147225712E-9</v>
      </c>
      <c r="J134" s="1">
        <f t="shared" si="60"/>
        <v>1.3297940977777492E-9</v>
      </c>
      <c r="K134" s="1">
        <f>'Enter data'!$C$86/D134</f>
        <v>0.16526173005592756</v>
      </c>
      <c r="L134" s="1"/>
      <c r="M134" s="24">
        <f>1+(2/PI())*ATAN(1.4*('Enter data'!C$32/G134)^2)</f>
        <v>1</v>
      </c>
      <c r="N134" s="24">
        <f>1+(2/PI())*ATAN(1.4*('Enter data'!D$32/H134)^2)</f>
        <v>1</v>
      </c>
      <c r="O134" s="1">
        <f t="shared" si="33"/>
        <v>3.694573381803659</v>
      </c>
      <c r="P134" s="1">
        <f t="shared" si="34"/>
        <v>12.580895063346954</v>
      </c>
      <c r="Q134" s="16">
        <f>8.686*O134/2/'Enter data'!C$46</f>
        <v>0.31998970613501054</v>
      </c>
      <c r="R134" s="16">
        <f>8.686*P134/2/'Enter data'!C$46</f>
        <v>1.0896405344290272</v>
      </c>
      <c r="S134" s="16">
        <f t="shared" si="35"/>
        <v>9.7534048443980281E-2</v>
      </c>
      <c r="T134" s="16">
        <f t="shared" si="36"/>
        <v>0.33212647355188585</v>
      </c>
      <c r="U134">
        <f t="shared" si="61"/>
        <v>16.275468445150615</v>
      </c>
      <c r="V134">
        <f>U134/(2*'Enter data'!$C$46)</f>
        <v>0.16228761691964516</v>
      </c>
      <c r="W134">
        <f t="shared" si="62"/>
        <v>1.4096107660500075</v>
      </c>
      <c r="Y134" s="1"/>
      <c r="Z134" s="1">
        <f>4*PI()^2*D134*'Enter data'!$C$85*'Enter data'!$E$15*'Enter data'!$E$16/LN('Enter data'!$C$45)</f>
        <v>3.2985335726237405E-4</v>
      </c>
      <c r="AA134" s="16">
        <f>27.28753*'Enter data'!$E$15^0.5*'Enter data'!$E$16*D134/'Enter data'!$C$86</f>
        <v>7.1783203086847394E-2</v>
      </c>
      <c r="AB134" s="16">
        <f t="shared" si="56"/>
        <v>2.187978635907321E-2</v>
      </c>
      <c r="AD134">
        <f>2*PI()/'Enter data'!$E$11/LN($C$3/$C$2)</f>
        <v>5.1880404392247992E-18</v>
      </c>
      <c r="AE134" s="14">
        <f>8.686*AD134*'Enter data'!$C$46/2</f>
        <v>1.1298253133715425E-15</v>
      </c>
      <c r="AF134" s="16">
        <f t="shared" si="38"/>
        <v>3.4437494311495441E-16</v>
      </c>
      <c r="AH134" s="1">
        <f t="shared" si="58"/>
        <v>1.4814134436508863</v>
      </c>
      <c r="AI134" s="16">
        <f t="shared" si="39"/>
        <v>0.45154030835493975</v>
      </c>
      <c r="AK134" s="1">
        <f t="shared" si="40"/>
        <v>0.21783651233817589</v>
      </c>
      <c r="AL134" s="1">
        <f t="shared" si="63"/>
        <v>0.74178477985843894</v>
      </c>
      <c r="AM134" s="1">
        <f t="shared" si="42"/>
        <v>0.95962129219661485</v>
      </c>
      <c r="AN134" s="1">
        <f t="shared" si="43"/>
        <v>1.0314044952834633</v>
      </c>
      <c r="AP134" s="1">
        <f t="shared" si="44"/>
        <v>0.31998970613501054</v>
      </c>
      <c r="AQ134" s="1">
        <f t="shared" si="45"/>
        <v>1.0896405344290272</v>
      </c>
      <c r="AR134" s="1">
        <f t="shared" si="46"/>
        <v>1.4096302405640377</v>
      </c>
      <c r="AS134" s="1">
        <f t="shared" si="47"/>
        <v>1.4814134436508863</v>
      </c>
      <c r="AU134" s="1">
        <f t="shared" si="48"/>
        <v>0.28766274607272108</v>
      </c>
      <c r="AV134" s="1">
        <f t="shared" si="49"/>
        <v>1.3538347784066891</v>
      </c>
      <c r="AW134" s="1">
        <f t="shared" si="50"/>
        <v>1.6414975244794101</v>
      </c>
      <c r="AX134" s="1">
        <f t="shared" si="51"/>
        <v>1.7132807275662587</v>
      </c>
    </row>
    <row r="135" spans="4:50" x14ac:dyDescent="0.25">
      <c r="D135" s="1">
        <f>D134*'Enter data'!$C$77</f>
        <v>2166725085.4487309</v>
      </c>
      <c r="E135">
        <f t="shared" si="32"/>
        <v>2.1667250854487308</v>
      </c>
      <c r="G135" s="1">
        <f t="shared" si="52"/>
        <v>1.3985119974120331E-6</v>
      </c>
      <c r="H135" s="1">
        <f t="shared" si="53"/>
        <v>1.3985119974120331E-6</v>
      </c>
      <c r="I135" s="1">
        <f t="shared" si="59"/>
        <v>4.142230594810425E-9</v>
      </c>
      <c r="J135" s="1">
        <f t="shared" si="60"/>
        <v>1.2179065259623092E-9</v>
      </c>
      <c r="K135" s="1">
        <f>'Enter data'!$C$86/D135</f>
        <v>0.13836201925816199</v>
      </c>
      <c r="L135" s="1"/>
      <c r="M135" s="24">
        <f>1+(2/PI())*ATAN(1.4*('Enter data'!C$32/G135)^2)</f>
        <v>1</v>
      </c>
      <c r="N135" s="24">
        <f>1+(2/PI())*ATAN(1.4*('Enter data'!D$32/H135)^2)</f>
        <v>1</v>
      </c>
      <c r="O135" s="1">
        <f t="shared" si="33"/>
        <v>4.0388866860671895</v>
      </c>
      <c r="P135" s="1">
        <f t="shared" si="34"/>
        <v>13.736686390428085</v>
      </c>
      <c r="Q135" s="16">
        <f>8.686*O135/2/'Enter data'!C$46</f>
        <v>0.34981093355799225</v>
      </c>
      <c r="R135" s="16">
        <f>8.686*P135/2/'Enter data'!C$46</f>
        <v>1.1897444676537967</v>
      </c>
      <c r="S135" s="16">
        <f t="shared" si="35"/>
        <v>0.10662366909229219</v>
      </c>
      <c r="T135" s="16">
        <f t="shared" si="36"/>
        <v>0.36263852342532205</v>
      </c>
      <c r="U135">
        <f t="shared" si="61"/>
        <v>17.775573076495274</v>
      </c>
      <c r="V135">
        <f>U135/(2*'Enter data'!$C$46)</f>
        <v>0.17724561377064113</v>
      </c>
      <c r="W135">
        <f t="shared" si="62"/>
        <v>1.5395341317381361</v>
      </c>
      <c r="Y135" s="1"/>
      <c r="Z135" s="1">
        <f>4*PI()^2*D135*'Enter data'!$C$85*'Enter data'!$E$15*'Enter data'!$E$16/LN('Enter data'!$C$45)</f>
        <v>3.9398193794949407E-4</v>
      </c>
      <c r="AA135" s="16">
        <f>27.28753*'Enter data'!$E$15^0.5*'Enter data'!$E$16*D135/'Enter data'!$C$86</f>
        <v>8.5738965033127029E-2</v>
      </c>
      <c r="AB135" s="16">
        <f t="shared" si="56"/>
        <v>2.6133554326117723E-2</v>
      </c>
      <c r="AD135">
        <f>2*PI()/'Enter data'!$E$11/LN($C$3/$C$2)</f>
        <v>5.1880404392247992E-18</v>
      </c>
      <c r="AE135" s="14">
        <f>8.686*AD135*'Enter data'!$C$46/2</f>
        <v>1.1298253133715425E-15</v>
      </c>
      <c r="AF135" s="16">
        <f t="shared" si="38"/>
        <v>3.4437494311495441E-16</v>
      </c>
      <c r="AH135" s="1">
        <f t="shared" si="58"/>
        <v>1.6252943662449171</v>
      </c>
      <c r="AI135" s="16">
        <f t="shared" si="39"/>
        <v>0.49539574684373233</v>
      </c>
      <c r="AK135" s="1">
        <f t="shared" si="40"/>
        <v>0.23813764093987236</v>
      </c>
      <c r="AL135" s="1">
        <f t="shared" si="63"/>
        <v>0.80993163354446629</v>
      </c>
      <c r="AM135" s="1">
        <f t="shared" si="42"/>
        <v>1.0480692744843387</v>
      </c>
      <c r="AN135" s="1">
        <f t="shared" si="43"/>
        <v>1.1338082395174669</v>
      </c>
      <c r="AP135" s="1">
        <f t="shared" si="44"/>
        <v>0.34981093355799225</v>
      </c>
      <c r="AQ135" s="1">
        <f t="shared" si="45"/>
        <v>1.1897444676537967</v>
      </c>
      <c r="AR135" s="1">
        <f t="shared" si="46"/>
        <v>1.5395554012117889</v>
      </c>
      <c r="AS135" s="1">
        <f t="shared" si="47"/>
        <v>1.6252943662449171</v>
      </c>
      <c r="AU135" s="1">
        <f t="shared" si="48"/>
        <v>0.31447128399529606</v>
      </c>
      <c r="AV135" s="1">
        <f t="shared" si="49"/>
        <v>1.4782099112811362</v>
      </c>
      <c r="AW135" s="1">
        <f t="shared" si="50"/>
        <v>1.7926811952764323</v>
      </c>
      <c r="AX135" s="1">
        <f t="shared" si="51"/>
        <v>1.8784201603095605</v>
      </c>
    </row>
    <row r="136" spans="4:50" x14ac:dyDescent="0.25">
      <c r="D136" s="1">
        <f>D135*'Enter data'!$C$77</f>
        <v>2587969864.1049705</v>
      </c>
      <c r="E136">
        <f t="shared" si="32"/>
        <v>2.5879698641049704</v>
      </c>
      <c r="G136" s="1">
        <f t="shared" si="52"/>
        <v>1.2796420258823225E-6</v>
      </c>
      <c r="H136" s="1">
        <f t="shared" si="53"/>
        <v>1.2796420258823225E-6</v>
      </c>
      <c r="I136" s="1">
        <f t="shared" si="59"/>
        <v>3.7891957620875543E-9</v>
      </c>
      <c r="J136" s="1">
        <f t="shared" si="60"/>
        <v>1.1153433029511757E-9</v>
      </c>
      <c r="K136" s="1">
        <f>'Enter data'!$C$86/D136</f>
        <v>0.11584078398984021</v>
      </c>
      <c r="L136" s="1"/>
      <c r="M136" s="24">
        <f>1+(2/PI())*ATAN(1.4*('Enter data'!C$32/G136)^2)</f>
        <v>1</v>
      </c>
      <c r="N136" s="24">
        <f>1+(2/PI())*ATAN(1.4*('Enter data'!D$32/H136)^2)</f>
        <v>1</v>
      </c>
      <c r="O136" s="1">
        <f t="shared" si="33"/>
        <v>4.4151849232468958</v>
      </c>
      <c r="P136" s="1">
        <f t="shared" si="34"/>
        <v>14.999865920862897</v>
      </c>
      <c r="Q136" s="16">
        <f>8.686*O136/2/'Enter data'!C$46</f>
        <v>0.38240239944341825</v>
      </c>
      <c r="R136" s="16">
        <f>8.686*P136/2/'Enter data'!C$46</f>
        <v>1.2991493718114364</v>
      </c>
      <c r="S136" s="16">
        <f t="shared" si="35"/>
        <v>0.11655766869160517</v>
      </c>
      <c r="T136" s="16">
        <f t="shared" si="36"/>
        <v>0.39598554371233735</v>
      </c>
      <c r="U136">
        <f t="shared" si="61"/>
        <v>19.415050844109793</v>
      </c>
      <c r="V136">
        <f>U136/(2*'Enter data'!$C$46)</f>
        <v>0.19359334230426603</v>
      </c>
      <c r="W136">
        <f t="shared" si="62"/>
        <v>1.6815285400537781</v>
      </c>
      <c r="Y136" s="1"/>
      <c r="Z136" s="1">
        <f>4*PI()^2*D136*'Enter data'!$C$85*'Enter data'!$E$15*'Enter data'!$E$16/LN('Enter data'!$C$45)</f>
        <v>4.7057810391473926E-4</v>
      </c>
      <c r="AA136" s="16">
        <f>27.28753*'Enter data'!$E$15^0.5*'Enter data'!$E$16*D136/'Enter data'!$C$86</f>
        <v>0.10240794237139178</v>
      </c>
      <c r="AB136" s="16">
        <f t="shared" si="56"/>
        <v>3.1214320400936288E-2</v>
      </c>
      <c r="AD136">
        <f>2*PI()/'Enter data'!$E$11/LN($C$3/$C$2)</f>
        <v>5.1880404392247992E-18</v>
      </c>
      <c r="AE136" s="14">
        <f>8.686*AD136*'Enter data'!$C$46/2</f>
        <v>1.1298253133715425E-15</v>
      </c>
      <c r="AF136" s="16">
        <f t="shared" si="38"/>
        <v>3.4437494311495441E-16</v>
      </c>
      <c r="AH136" s="1">
        <f t="shared" si="58"/>
        <v>1.7839597136262475</v>
      </c>
      <c r="AI136" s="16">
        <f t="shared" si="39"/>
        <v>0.54375753280487915</v>
      </c>
      <c r="AK136" s="1">
        <f t="shared" si="40"/>
        <v>0.26032463984750082</v>
      </c>
      <c r="AL136" s="1">
        <f t="shared" si="63"/>
        <v>0.88441022550372517</v>
      </c>
      <c r="AM136" s="1">
        <f t="shared" si="42"/>
        <v>1.1447348653512259</v>
      </c>
      <c r="AN136" s="1">
        <f t="shared" si="43"/>
        <v>1.2471428077226188</v>
      </c>
      <c r="AP136" s="1">
        <f t="shared" si="44"/>
        <v>0.38240239944341825</v>
      </c>
      <c r="AQ136" s="1">
        <f t="shared" si="45"/>
        <v>1.2991493718114364</v>
      </c>
      <c r="AR136" s="1">
        <f t="shared" si="46"/>
        <v>1.6815517712548547</v>
      </c>
      <c r="AS136" s="1">
        <f t="shared" si="47"/>
        <v>1.7839597136262475</v>
      </c>
      <c r="AU136" s="1">
        <f t="shared" si="48"/>
        <v>0.3437701970396469</v>
      </c>
      <c r="AV136" s="1">
        <f t="shared" si="49"/>
        <v>1.6141411285008371</v>
      </c>
      <c r="AW136" s="1">
        <f t="shared" si="50"/>
        <v>1.9579113255404841</v>
      </c>
      <c r="AX136" s="1">
        <f t="shared" si="51"/>
        <v>2.0603192679118769</v>
      </c>
    </row>
    <row r="137" spans="4:50" x14ac:dyDescent="0.25">
      <c r="D137" s="1">
        <f>D136*'Enter data'!$C$77</f>
        <v>3091111125.493072</v>
      </c>
      <c r="E137">
        <f t="shared" si="32"/>
        <v>3.0911111254930721</v>
      </c>
      <c r="G137" s="1">
        <f t="shared" si="52"/>
        <v>1.1708757003403635E-6</v>
      </c>
      <c r="H137" s="1">
        <f t="shared" si="53"/>
        <v>1.1708757003403635E-6</v>
      </c>
      <c r="I137" s="1">
        <f t="shared" si="59"/>
        <v>3.4663235608527684E-9</v>
      </c>
      <c r="J137" s="1">
        <f t="shared" si="60"/>
        <v>1.0213421272636616E-9</v>
      </c>
      <c r="K137" s="1">
        <f>'Enter data'!$C$86/D137</f>
        <v>9.6985338225968581E-2</v>
      </c>
      <c r="L137" s="1"/>
      <c r="M137" s="24">
        <f>1+(2/PI())*ATAN(1.4*('Enter data'!C$32/G137)^2)</f>
        <v>1</v>
      </c>
      <c r="N137" s="24">
        <f>1+(2/PI())*ATAN(1.4*('Enter data'!D$32/H137)^2)</f>
        <v>1</v>
      </c>
      <c r="O137" s="1">
        <f t="shared" si="33"/>
        <v>4.8264392248149406</v>
      </c>
      <c r="P137" s="1">
        <f t="shared" si="34"/>
        <v>16.380407263550694</v>
      </c>
      <c r="Q137" s="16">
        <f>8.686*O137/2/'Enter data'!C$46</f>
        <v>0.41802143566385269</v>
      </c>
      <c r="R137" s="16">
        <f>8.686*P137/2/'Enter data'!C$46</f>
        <v>1.4187190684723914</v>
      </c>
      <c r="S137" s="16">
        <f t="shared" si="35"/>
        <v>0.12741448295045496</v>
      </c>
      <c r="T137" s="16">
        <f t="shared" si="36"/>
        <v>0.43243083042928288</v>
      </c>
      <c r="U137">
        <f t="shared" si="61"/>
        <v>21.206846488365635</v>
      </c>
      <c r="V137">
        <f>U137/(2*'Enter data'!$C$46)</f>
        <v>0.21145987844073727</v>
      </c>
      <c r="W137">
        <f t="shared" si="62"/>
        <v>1.8367151289508308</v>
      </c>
      <c r="Y137" s="1"/>
      <c r="Z137" s="1">
        <f>4*PI()^2*D137*'Enter data'!$C$85*'Enter data'!$E$15*'Enter data'!$E$16/LN('Enter data'!$C$45)</f>
        <v>5.6206574605046679E-4</v>
      </c>
      <c r="AA137" s="16">
        <f>27.28753*'Enter data'!$E$15^0.5*'Enter data'!$E$16*D137/'Enter data'!$C$86</f>
        <v>0.12231762602557987</v>
      </c>
      <c r="AB137" s="16">
        <f t="shared" si="56"/>
        <v>3.7282865772244531E-2</v>
      </c>
      <c r="AD137">
        <f>2*PI()/'Enter data'!$E$11/LN($C$3/$C$2)</f>
        <v>5.1880404392247992E-18</v>
      </c>
      <c r="AE137" s="14">
        <f>8.686*AD137*'Enter data'!$C$46/2</f>
        <v>1.1298253133715425E-15</v>
      </c>
      <c r="AF137" s="16">
        <f t="shared" si="38"/>
        <v>3.4437494311495441E-16</v>
      </c>
      <c r="AH137" s="1">
        <f t="shared" si="58"/>
        <v>1.9590581301618251</v>
      </c>
      <c r="AI137" s="16">
        <f t="shared" si="39"/>
        <v>0.59712817915198269</v>
      </c>
      <c r="AK137" s="1">
        <f t="shared" si="40"/>
        <v>0.28457269056396001</v>
      </c>
      <c r="AL137" s="1">
        <f t="shared" si="63"/>
        <v>0.96580861177233357</v>
      </c>
      <c r="AM137" s="1">
        <f t="shared" si="42"/>
        <v>1.2503813023362935</v>
      </c>
      <c r="AN137" s="1">
        <f t="shared" si="43"/>
        <v>1.3726989283618745</v>
      </c>
      <c r="AP137" s="1">
        <f t="shared" si="44"/>
        <v>0.41802143566385269</v>
      </c>
      <c r="AQ137" s="1">
        <f t="shared" si="45"/>
        <v>1.4187190684723914</v>
      </c>
      <c r="AR137" s="1">
        <f t="shared" si="46"/>
        <v>1.8367405041362441</v>
      </c>
      <c r="AS137" s="1">
        <f t="shared" si="47"/>
        <v>1.9590581301618251</v>
      </c>
      <c r="AU137" s="1">
        <f t="shared" si="48"/>
        <v>0.37579082012591197</v>
      </c>
      <c r="AV137" s="1">
        <f t="shared" si="49"/>
        <v>1.7627016938142073</v>
      </c>
      <c r="AW137" s="1">
        <f t="shared" si="50"/>
        <v>2.1384925139401192</v>
      </c>
      <c r="AX137" s="1">
        <f t="shared" si="51"/>
        <v>2.2608101399657006</v>
      </c>
    </row>
    <row r="138" spans="4:50" x14ac:dyDescent="0.25">
      <c r="D138" s="1">
        <f>D137*'Enter data'!$C$77</f>
        <v>3692070809.1210942</v>
      </c>
      <c r="E138">
        <f t="shared" si="32"/>
        <v>3.6920708091210943</v>
      </c>
      <c r="G138" s="1">
        <f t="shared" si="52"/>
        <v>1.071354236511775E-6</v>
      </c>
      <c r="H138" s="1">
        <f t="shared" si="53"/>
        <v>1.071354236511775E-6</v>
      </c>
      <c r="I138" s="1">
        <f t="shared" si="59"/>
        <v>3.171024922356471E-9</v>
      </c>
      <c r="J138" s="1">
        <f t="shared" si="60"/>
        <v>9.3520056820111594E-10</v>
      </c>
      <c r="K138" s="1">
        <f>'Enter data'!$C$86/D138</f>
        <v>8.11990001002625E-2</v>
      </c>
      <c r="L138" s="1"/>
      <c r="M138" s="24">
        <f>1+(2/PI())*ATAN(1.4*('Enter data'!C$32/G138)^2)</f>
        <v>1</v>
      </c>
      <c r="N138" s="24">
        <f>1+(2/PI())*ATAN(1.4*('Enter data'!D$32/H138)^2)</f>
        <v>1</v>
      </c>
      <c r="O138" s="1">
        <f t="shared" si="33"/>
        <v>5.275896724131548</v>
      </c>
      <c r="P138" s="1">
        <f t="shared" si="34"/>
        <v>17.889210687906893</v>
      </c>
      <c r="Q138" s="16">
        <f>8.686*O138/2/'Enter data'!C$46</f>
        <v>0.4569492788175013</v>
      </c>
      <c r="R138" s="16">
        <f>8.686*P138/2/'Enter data'!C$46</f>
        <v>1.5493976379530001</v>
      </c>
      <c r="S138" s="16">
        <f t="shared" si="35"/>
        <v>0.13927983382635373</v>
      </c>
      <c r="T138" s="16">
        <f t="shared" si="36"/>
        <v>0.47226214275573031</v>
      </c>
      <c r="U138">
        <f t="shared" si="61"/>
        <v>23.165107412038441</v>
      </c>
      <c r="V138">
        <f>U138/(2*'Enter data'!$C$46)</f>
        <v>0.2309862902107416</v>
      </c>
      <c r="W138">
        <f t="shared" si="62"/>
        <v>2.0063191984156759</v>
      </c>
      <c r="Y138" s="1"/>
      <c r="Z138" s="1">
        <f>4*PI()^2*D138*'Enter data'!$C$85*'Enter data'!$E$15*'Enter data'!$E$16/LN('Enter data'!$C$45)</f>
        <v>6.7133999702737295E-4</v>
      </c>
      <c r="AA138" s="16">
        <f>27.28753*'Enter data'!$E$15^0.5*'Enter data'!$E$16*D138/'Enter data'!$C$86</f>
        <v>0.14609805929186617</v>
      </c>
      <c r="AB138" s="16">
        <f t="shared" si="56"/>
        <v>4.4531229971917267E-2</v>
      </c>
      <c r="AD138">
        <f>2*PI()/'Enter data'!$E$11/LN($C$3/$C$2)</f>
        <v>5.1880404392247992E-18</v>
      </c>
      <c r="AE138" s="14">
        <f>8.686*AD138*'Enter data'!$C$46/2</f>
        <v>1.1298253133715425E-15</v>
      </c>
      <c r="AF138" s="16">
        <f t="shared" si="38"/>
        <v>3.4437494311495441E-16</v>
      </c>
      <c r="AH138" s="1">
        <f t="shared" si="58"/>
        <v>2.1524449760623692</v>
      </c>
      <c r="AI138" s="16">
        <f t="shared" si="39"/>
        <v>0.65607320655400181</v>
      </c>
      <c r="AK138" s="1">
        <f t="shared" si="40"/>
        <v>0.31107324799708097</v>
      </c>
      <c r="AL138" s="1">
        <f t="shared" si="63"/>
        <v>1.0547694854105223</v>
      </c>
      <c r="AM138" s="1">
        <f t="shared" si="42"/>
        <v>1.3658427334076033</v>
      </c>
      <c r="AN138" s="1">
        <f t="shared" si="43"/>
        <v>1.5119407926994706</v>
      </c>
      <c r="AP138" s="1">
        <f t="shared" si="44"/>
        <v>0.4569492788175013</v>
      </c>
      <c r="AQ138" s="1">
        <f t="shared" si="45"/>
        <v>1.5493976379530001</v>
      </c>
      <c r="AR138" s="1">
        <f t="shared" si="46"/>
        <v>2.0063469167705015</v>
      </c>
      <c r="AS138" s="1">
        <f t="shared" si="47"/>
        <v>2.1524449760623692</v>
      </c>
      <c r="AU138" s="1">
        <f t="shared" si="48"/>
        <v>0.41078597792496324</v>
      </c>
      <c r="AV138" s="1">
        <f t="shared" si="49"/>
        <v>1.9250645892510843</v>
      </c>
      <c r="AW138" s="1">
        <f t="shared" si="50"/>
        <v>2.3358505671760477</v>
      </c>
      <c r="AX138" s="1">
        <f t="shared" si="51"/>
        <v>2.4819486264679154</v>
      </c>
    </row>
    <row r="139" spans="4:50" x14ac:dyDescent="0.25">
      <c r="D139" s="1">
        <f>D138*'Enter data'!$C$77</f>
        <v>4409866325.1356611</v>
      </c>
      <c r="E139">
        <f t="shared" si="32"/>
        <v>4.4098663251356616</v>
      </c>
      <c r="G139" s="1">
        <f t="shared" si="52"/>
        <v>9.8029184460662447E-7</v>
      </c>
      <c r="H139" s="1">
        <f t="shared" si="53"/>
        <v>9.8029184460662447E-7</v>
      </c>
      <c r="I139" s="1">
        <f t="shared" si="59"/>
        <v>2.9009349637298628E-9</v>
      </c>
      <c r="J139" s="1">
        <f t="shared" si="60"/>
        <v>8.5627177828613094E-10</v>
      </c>
      <c r="K139" s="1">
        <f>'Enter data'!$C$86/D139</f>
        <v>6.7982209866821186E-2</v>
      </c>
      <c r="L139" s="1"/>
      <c r="M139" s="24">
        <f>1+(2/PI())*ATAN(1.4*('Enter data'!C$32/G139)^2)</f>
        <v>1</v>
      </c>
      <c r="N139" s="24">
        <f>1+(2/PI())*ATAN(1.4*('Enter data'!D$32/H139)^2)</f>
        <v>1</v>
      </c>
      <c r="O139" s="1">
        <f t="shared" si="33"/>
        <v>5.7671061947867619</v>
      </c>
      <c r="P139" s="1">
        <f t="shared" si="34"/>
        <v>19.538189187416524</v>
      </c>
      <c r="Q139" s="16">
        <f>8.686*O139/2/'Enter data'!C$46</f>
        <v>0.49949329078376553</v>
      </c>
      <c r="R139" s="16">
        <f>8.686*P139/2/'Enter data'!C$46</f>
        <v>1.6922168733428897</v>
      </c>
      <c r="S139" s="16">
        <f t="shared" si="35"/>
        <v>0.15224740635935305</v>
      </c>
      <c r="T139" s="16">
        <f t="shared" si="36"/>
        <v>0.51579397504964941</v>
      </c>
      <c r="U139">
        <f t="shared" si="61"/>
        <v>25.305295382203287</v>
      </c>
      <c r="V139">
        <f>U139/(2*'Enter data'!$C$46)</f>
        <v>0.25232675156880674</v>
      </c>
      <c r="W139">
        <f t="shared" si="62"/>
        <v>2.1916798849164669</v>
      </c>
      <c r="Y139" s="1"/>
      <c r="Z139" s="1">
        <f>4*PI()^2*D139*'Enter data'!$C$85*'Enter data'!$E$15*'Enter data'!$E$16/LN('Enter data'!$C$45)</f>
        <v>8.0185884796517358E-4</v>
      </c>
      <c r="AA139" s="16">
        <f>27.28753*'Enter data'!$E$15^0.5*'Enter data'!$E$16*D139/'Enter data'!$C$86</f>
        <v>0.17450177560171021</v>
      </c>
      <c r="AB139" s="16">
        <f t="shared" si="56"/>
        <v>5.3188787979063096E-2</v>
      </c>
      <c r="AD139">
        <f>2*PI()/'Enter data'!$E$11/LN($C$3/$C$2)</f>
        <v>5.1880404392247992E-18</v>
      </c>
      <c r="AE139" s="14">
        <f>8.686*AD139*'Enter data'!$C$46/2</f>
        <v>1.1298253133715425E-15</v>
      </c>
      <c r="AF139" s="16">
        <f t="shared" si="38"/>
        <v>3.4437494311495441E-16</v>
      </c>
      <c r="AH139" s="1">
        <f t="shared" si="58"/>
        <v>2.366211939728367</v>
      </c>
      <c r="AI139" s="16">
        <f t="shared" si="39"/>
        <v>0.72123016938806594</v>
      </c>
      <c r="AK139" s="1">
        <f t="shared" si="40"/>
        <v>0.34003555212724695</v>
      </c>
      <c r="AL139" s="1">
        <f t="shared" si="63"/>
        <v>1.151995250913779</v>
      </c>
      <c r="AM139" s="1">
        <f t="shared" si="42"/>
        <v>1.4920308030410259</v>
      </c>
      <c r="AN139" s="1">
        <f t="shared" si="43"/>
        <v>1.6665325786427372</v>
      </c>
      <c r="AP139" s="1">
        <f t="shared" si="44"/>
        <v>0.49949329078376553</v>
      </c>
      <c r="AQ139" s="1">
        <f t="shared" si="45"/>
        <v>1.6922168733428897</v>
      </c>
      <c r="AR139" s="1">
        <f t="shared" si="46"/>
        <v>2.1917101641266554</v>
      </c>
      <c r="AS139" s="1">
        <f t="shared" si="47"/>
        <v>2.366211939728367</v>
      </c>
      <c r="AU139" s="1">
        <f t="shared" si="48"/>
        <v>0.44903198108233561</v>
      </c>
      <c r="AV139" s="1">
        <f t="shared" si="49"/>
        <v>2.1025117764536065</v>
      </c>
      <c r="AW139" s="1">
        <f t="shared" si="50"/>
        <v>2.5515437575359421</v>
      </c>
      <c r="AX139" s="1">
        <f t="shared" si="51"/>
        <v>2.7260455331376536</v>
      </c>
    </row>
    <row r="140" spans="4:50" x14ac:dyDescent="0.25">
      <c r="D140" s="1">
        <f>D139*'Enter data'!$C$77</f>
        <v>5267212361.5621786</v>
      </c>
      <c r="E140">
        <f t="shared" si="32"/>
        <v>5.2672123615621782</v>
      </c>
      <c r="G140" s="1">
        <f t="shared" si="52"/>
        <v>8.9696952497344842E-7</v>
      </c>
      <c r="H140" s="1">
        <f t="shared" si="53"/>
        <v>8.9696952497344842E-7</v>
      </c>
      <c r="I140" s="1">
        <f t="shared" si="59"/>
        <v>2.653893261878592E-9</v>
      </c>
      <c r="J140" s="1">
        <f t="shared" si="60"/>
        <v>7.8396043970503251E-10</v>
      </c>
      <c r="K140" s="1">
        <f>'Enter data'!$C$86/D140</f>
        <v>5.6916721297921226E-2</v>
      </c>
      <c r="L140" s="1"/>
      <c r="M140" s="24">
        <f>1+(2/PI())*ATAN(1.4*('Enter data'!C$32/G140)^2)</f>
        <v>1</v>
      </c>
      <c r="N140" s="24">
        <f>1+(2/PI())*ATAN(1.4*('Enter data'!D$32/H140)^2)</f>
        <v>1</v>
      </c>
      <c r="O140" s="1">
        <f t="shared" si="33"/>
        <v>6.3039460705957175</v>
      </c>
      <c r="P140" s="1">
        <f t="shared" si="34"/>
        <v>21.34036253958773</v>
      </c>
      <c r="Q140" s="16">
        <f>8.686*O140/2/'Enter data'!C$46</f>
        <v>0.5459893855555521</v>
      </c>
      <c r="R140" s="16">
        <f>8.686*P140/2/'Enter data'!C$46</f>
        <v>1.8483044271064268</v>
      </c>
      <c r="S140" s="16">
        <f t="shared" si="35"/>
        <v>0.16641958837952697</v>
      </c>
      <c r="T140" s="16">
        <f t="shared" si="36"/>
        <v>0.56337003996172486</v>
      </c>
      <c r="U140">
        <f t="shared" si="61"/>
        <v>27.644308610183447</v>
      </c>
      <c r="V140">
        <f>U140/(2*'Enter data'!$C$46)</f>
        <v>0.27564975968938277</v>
      </c>
      <c r="W140">
        <f t="shared" si="62"/>
        <v>2.3942607346908158</v>
      </c>
      <c r="Y140" s="1"/>
      <c r="Z140" s="1">
        <f>4*PI()^2*D140*'Enter data'!$C$85*'Enter data'!$E$15*'Enter data'!$E$16/LN('Enter data'!$C$45)</f>
        <v>9.5775257679726617E-4</v>
      </c>
      <c r="AA140" s="16">
        <f>27.28753*'Enter data'!$E$15^0.5*'Enter data'!$E$16*D140/'Enter data'!$C$86</f>
        <v>0.20842761249358324</v>
      </c>
      <c r="AB140" s="16">
        <f t="shared" si="56"/>
        <v>6.3529508806871263E-2</v>
      </c>
      <c r="AD140">
        <f>2*PI()/'Enter data'!$E$11/LN($C$3/$C$2)</f>
        <v>5.1880404392247992E-18</v>
      </c>
      <c r="AE140" s="14">
        <f>8.686*AD140*'Enter data'!$C$46/2</f>
        <v>1.1298253133715425E-15</v>
      </c>
      <c r="AF140" s="16">
        <f t="shared" si="38"/>
        <v>3.4437494311495441E-16</v>
      </c>
      <c r="AH140" s="1">
        <f t="shared" si="58"/>
        <v>2.6027214251555635</v>
      </c>
      <c r="AI140" s="16">
        <f t="shared" si="39"/>
        <v>0.79331913714812341</v>
      </c>
      <c r="AK140" s="1">
        <f t="shared" si="40"/>
        <v>0.37168828010018318</v>
      </c>
      <c r="AL140" s="1">
        <f t="shared" si="63"/>
        <v>1.2582535701013982</v>
      </c>
      <c r="AM140" s="1">
        <f t="shared" si="42"/>
        <v>1.6299418502015812</v>
      </c>
      <c r="AN140" s="1">
        <f t="shared" si="43"/>
        <v>1.8383694626951657</v>
      </c>
      <c r="AP140" s="1">
        <f t="shared" si="44"/>
        <v>0.5459893855555521</v>
      </c>
      <c r="AQ140" s="1">
        <f t="shared" si="45"/>
        <v>1.8483044271064268</v>
      </c>
      <c r="AR140" s="1">
        <f t="shared" si="46"/>
        <v>2.3942938126619788</v>
      </c>
      <c r="AS140" s="1">
        <f t="shared" si="47"/>
        <v>2.6027214251555635</v>
      </c>
      <c r="AU140" s="1">
        <f t="shared" si="48"/>
        <v>0.49083080787980243</v>
      </c>
      <c r="AV140" s="1">
        <f t="shared" si="49"/>
        <v>2.2964443185026511</v>
      </c>
      <c r="AW140" s="1">
        <f t="shared" si="50"/>
        <v>2.7872751263824536</v>
      </c>
      <c r="AX140" s="1">
        <f t="shared" si="51"/>
        <v>2.9957027388760382</v>
      </c>
    </row>
    <row r="141" spans="4:50" x14ac:dyDescent="0.25">
      <c r="D141" s="1">
        <f>D140*'Enter data'!$C$77</f>
        <v>6291239692.155508</v>
      </c>
      <c r="E141">
        <f t="shared" si="32"/>
        <v>6.291239692155508</v>
      </c>
      <c r="G141" s="1">
        <f t="shared" si="52"/>
        <v>8.2072939110693985E-7</v>
      </c>
      <c r="H141" s="1">
        <f t="shared" si="53"/>
        <v>8.2072939110693985E-7</v>
      </c>
      <c r="I141" s="1">
        <f t="shared" si="59"/>
        <v>2.4279259132440101E-9</v>
      </c>
      <c r="J141" s="1">
        <f t="shared" si="60"/>
        <v>7.1771894609386905E-10</v>
      </c>
      <c r="K141" s="1">
        <f>'Enter data'!$C$86/D141</f>
        <v>4.7652366253634969E-2</v>
      </c>
      <c r="L141" s="1"/>
      <c r="M141" s="24">
        <f>1+(2/PI())*ATAN(1.4*('Enter data'!C$32/G141)^2)</f>
        <v>1</v>
      </c>
      <c r="N141" s="24">
        <f>1+(2/PI())*ATAN(1.4*('Enter data'!D$32/H141)^2)</f>
        <v>1</v>
      </c>
      <c r="O141" s="1">
        <f t="shared" si="33"/>
        <v>6.8906550684846257</v>
      </c>
      <c r="P141" s="1">
        <f t="shared" si="34"/>
        <v>23.309960104929317</v>
      </c>
      <c r="Q141" s="16">
        <f>8.686*O141/2/'Enter data'!C$46</f>
        <v>0.59680468150985388</v>
      </c>
      <c r="R141" s="16">
        <f>8.686*P141/2/'Enter data'!C$46</f>
        <v>2.0188927145774427</v>
      </c>
      <c r="S141" s="16">
        <f t="shared" si="35"/>
        <v>0.18190827892887523</v>
      </c>
      <c r="T141" s="16">
        <f t="shared" si="36"/>
        <v>0.61536598225354866</v>
      </c>
      <c r="U141">
        <f t="shared" si="61"/>
        <v>30.200615173413944</v>
      </c>
      <c r="V141">
        <f>U141/(2*'Enter data'!$C$46)</f>
        <v>0.30113946535658492</v>
      </c>
      <c r="W141">
        <f t="shared" si="62"/>
        <v>2.6156612593514534</v>
      </c>
      <c r="Y141" s="1"/>
      <c r="Z141" s="1">
        <f>4*PI()^2*D141*'Enter data'!$C$85*'Enter data'!$E$15*'Enter data'!$E$16/LN('Enter data'!$C$45)</f>
        <v>1.1439544511974292E-3</v>
      </c>
      <c r="AA141" s="16">
        <f>27.28753*'Enter data'!$E$15^0.5*'Enter data'!$E$16*D141/'Enter data'!$C$86</f>
        <v>0.24894915538813306</v>
      </c>
      <c r="AB141" s="16">
        <f t="shared" si="56"/>
        <v>7.5880625270706242E-2</v>
      </c>
      <c r="AD141">
        <f>2*PI()/'Enter data'!$E$11/LN($C$3/$C$2)</f>
        <v>5.1880404392247992E-18</v>
      </c>
      <c r="AE141" s="14">
        <f>8.686*AD141*'Enter data'!$C$46/2</f>
        <v>1.1298253133715425E-15</v>
      </c>
      <c r="AF141" s="16">
        <f t="shared" si="38"/>
        <v>3.4437494311495441E-16</v>
      </c>
      <c r="AH141" s="1">
        <f t="shared" ref="AH141:AH157" si="64">Q141+R141+AA141+AE141</f>
        <v>2.8646465514754311</v>
      </c>
      <c r="AI141" s="16">
        <f t="shared" si="39"/>
        <v>0.87315488645313066</v>
      </c>
      <c r="AK141" s="1">
        <f t="shared" si="40"/>
        <v>0.40628135178932961</v>
      </c>
      <c r="AL141" s="1">
        <f t="shared" si="63"/>
        <v>1.3743834232684544</v>
      </c>
      <c r="AM141" s="1">
        <f t="shared" si="42"/>
        <v>1.780664775057784</v>
      </c>
      <c r="AN141" s="1">
        <f t="shared" si="43"/>
        <v>2.029613930445918</v>
      </c>
      <c r="AP141" s="1">
        <f t="shared" si="44"/>
        <v>0.59680468150985388</v>
      </c>
      <c r="AQ141" s="1">
        <f t="shared" si="45"/>
        <v>2.0188927145774427</v>
      </c>
      <c r="AR141" s="1">
        <f t="shared" si="46"/>
        <v>2.6156973960872967</v>
      </c>
      <c r="AS141" s="1">
        <f t="shared" si="47"/>
        <v>2.8646465514754311</v>
      </c>
      <c r="AU141" s="1">
        <f t="shared" si="48"/>
        <v>0.53651248856032085</v>
      </c>
      <c r="AV141" s="1">
        <f t="shared" si="49"/>
        <v>2.5083934421538894</v>
      </c>
      <c r="AW141" s="1">
        <f t="shared" si="50"/>
        <v>3.0449059307142101</v>
      </c>
      <c r="AX141" s="1">
        <f t="shared" si="51"/>
        <v>3.2938550861023446</v>
      </c>
    </row>
    <row r="142" spans="4:50" x14ac:dyDescent="0.25">
      <c r="D142" s="1">
        <f>D141*'Enter data'!$C$77</f>
        <v>7514353731.5845327</v>
      </c>
      <c r="E142">
        <f t="shared" ref="E142:E157" si="65">D142/1000000000</f>
        <v>7.5143537315845323</v>
      </c>
      <c r="G142" s="1">
        <f t="shared" si="52"/>
        <v>7.5096947518557847E-7</v>
      </c>
      <c r="H142" s="1">
        <f t="shared" si="53"/>
        <v>7.5096947518557847E-7</v>
      </c>
      <c r="I142" s="1">
        <f t="shared" si="59"/>
        <v>2.2212292098635084E-9</v>
      </c>
      <c r="J142" s="1">
        <f t="shared" si="60"/>
        <v>6.5704381743859015E-10</v>
      </c>
      <c r="K142" s="1">
        <f>'Enter data'!$C$86/D142</f>
        <v>3.9895973587176808E-2</v>
      </c>
      <c r="L142" s="1"/>
      <c r="M142" s="24">
        <f>1+(2/PI())*ATAN(1.4*('Enter data'!C$32/G142)^2)</f>
        <v>1</v>
      </c>
      <c r="N142" s="24">
        <f>1+(2/PI())*ATAN(1.4*('Enter data'!D$32/H142)^2)</f>
        <v>1</v>
      </c>
      <c r="O142" s="1">
        <f t="shared" ref="O142:O157" si="66">C$5/I142*M142</f>
        <v>7.5318656560562873</v>
      </c>
      <c r="P142" s="1">
        <f t="shared" ref="P142:P157" si="67">C$6/J142*N142</f>
        <v>25.46253317658476</v>
      </c>
      <c r="Q142" s="16">
        <f>8.686*O142/2/'Enter data'!C$46</f>
        <v>0.65234040005810634</v>
      </c>
      <c r="R142" s="16">
        <f>8.686*P142/2/'Enter data'!C$46</f>
        <v>2.2053286446433105</v>
      </c>
      <c r="S142" s="16">
        <f t="shared" ref="S142:S157" si="68">Q142/3.2808</f>
        <v>0.19883577178069567</v>
      </c>
      <c r="T142" s="16">
        <f t="shared" ref="T142:T157" si="69">R142/3.2808</f>
        <v>0.67219234474619316</v>
      </c>
      <c r="U142">
        <f t="shared" si="61"/>
        <v>32.994398832641046</v>
      </c>
      <c r="V142">
        <f>U142/(2*'Enter data'!$C$46)</f>
        <v>0.32899712695157912</v>
      </c>
      <c r="W142">
        <f t="shared" si="62"/>
        <v>2.8576295650461816</v>
      </c>
      <c r="Y142" s="1"/>
      <c r="Z142" s="1">
        <f>4*PI()^2*D142*'Enter data'!$C$85*'Enter data'!$E$15*'Enter data'!$E$16/LN('Enter data'!$C$45)</f>
        <v>1.3663568421715857E-3</v>
      </c>
      <c r="AA142" s="16">
        <f>27.28753*'Enter data'!$E$15^0.5*'Enter data'!$E$16*D142/'Enter data'!$C$86</f>
        <v>0.29734871127199064</v>
      </c>
      <c r="AB142" s="16">
        <f t="shared" si="56"/>
        <v>9.0632989292852545E-2</v>
      </c>
      <c r="AD142">
        <f>2*PI()/'Enter data'!$E$11/LN($C$3/$C$2)</f>
        <v>5.1880404392247992E-18</v>
      </c>
      <c r="AE142" s="14">
        <f>8.686*AD142*'Enter data'!$C$46/2</f>
        <v>1.1298253133715425E-15</v>
      </c>
      <c r="AF142" s="16">
        <f t="shared" ref="AF142:AF157" si="70">AE142/3.2808</f>
        <v>3.4437494311495441E-16</v>
      </c>
      <c r="AH142" s="1">
        <f t="shared" si="64"/>
        <v>3.1550177559734087</v>
      </c>
      <c r="AI142" s="16">
        <f t="shared" ref="AI142:AI157" si="71">AH142/3.2808</f>
        <v>0.96166110581974173</v>
      </c>
      <c r="AK142" s="1">
        <f t="shared" ref="AK142:AK157" si="72">$Q142*(1+$AM$2*($AK$6-25))</f>
        <v>0.44408790308395651</v>
      </c>
      <c r="AL142" s="1">
        <f t="shared" si="63"/>
        <v>1.5013017334560246</v>
      </c>
      <c r="AM142" s="1">
        <f t="shared" ref="AM142:AM157" si="73">AK142+AL142</f>
        <v>1.9453896365399812</v>
      </c>
      <c r="AN142" s="1">
        <f t="shared" ref="AN142:AN157" si="74">AM142+$AE142+$AA142</f>
        <v>2.2427383478119731</v>
      </c>
      <c r="AP142" s="1">
        <f t="shared" ref="AP142:AP157" si="75">$Q142*(1+$AM$2*($AP$6-25))</f>
        <v>0.65234040005810634</v>
      </c>
      <c r="AQ142" s="1">
        <f t="shared" ref="AQ142:AQ157" si="76">$R142*(1+$AM$3*($AP$6-25))</f>
        <v>2.2053286446433105</v>
      </c>
      <c r="AR142" s="1">
        <f t="shared" ref="AR142:AR157" si="77">AP142+AQ142</f>
        <v>2.8576690447014168</v>
      </c>
      <c r="AS142" s="1">
        <f t="shared" ref="AS142:AS157" si="78">AR142+$AE142+$AA142</f>
        <v>3.1550177559734087</v>
      </c>
      <c r="AU142" s="1">
        <f t="shared" ref="AU142:AU157" si="79">$Q142*(1+$AM$2*($UP$6-25))</f>
        <v>0.58643771114223608</v>
      </c>
      <c r="AV142" s="1">
        <f t="shared" ref="AV142:AV157" si="80">$R142*(1+$AM$3*($AU$6-25))</f>
        <v>2.7400326278235272</v>
      </c>
      <c r="AW142" s="1">
        <f t="shared" ref="AW142:AW157" si="81">AU142+AV142</f>
        <v>3.3264703389657635</v>
      </c>
      <c r="AX142" s="1">
        <f t="shared" ref="AX142:AX157" si="82">AW142+$AE142+$AA142</f>
        <v>3.6238190502377554</v>
      </c>
    </row>
    <row r="143" spans="4:50" x14ac:dyDescent="0.25">
      <c r="D143" s="1">
        <f>D142*'Enter data'!$C$77</f>
        <v>8975260006.9879303</v>
      </c>
      <c r="E143">
        <f t="shared" si="65"/>
        <v>8.9752600069879307</v>
      </c>
      <c r="G143" s="1">
        <f t="shared" ref="G143:G156" si="83">(C$5/(PI()*D143*H$5))^0.5</f>
        <v>6.8713897512538415E-7</v>
      </c>
      <c r="H143" s="1">
        <f t="shared" ref="H143:H156" si="84">(C$6/(PI()*D143*H$6))^0.5</f>
        <v>6.8713897512538415E-7</v>
      </c>
      <c r="I143" s="1">
        <f t="shared" si="59"/>
        <v>2.0321547794674612E-9</v>
      </c>
      <c r="J143" s="1">
        <f t="shared" si="60"/>
        <v>6.0147234315647321E-10</v>
      </c>
      <c r="K143" s="1">
        <f>'Enter data'!$C$86/D143</f>
        <v>3.3402091723982202E-2</v>
      </c>
      <c r="L143" s="1"/>
      <c r="M143" s="24">
        <f>1+(2/PI())*ATAN(1.4*('Enter data'!C$32/G143)^2)</f>
        <v>1</v>
      </c>
      <c r="N143" s="24">
        <f>1+(2/PI())*ATAN(1.4*('Enter data'!D$32/H143)^2)</f>
        <v>1</v>
      </c>
      <c r="O143" s="1">
        <f t="shared" si="66"/>
        <v>8.2326406280845408</v>
      </c>
      <c r="P143" s="1">
        <f t="shared" si="67"/>
        <v>27.815077767670005</v>
      </c>
      <c r="Q143" s="16">
        <f>8.686*O143/2/'Enter data'!C$46</f>
        <v>0.71303503356315767</v>
      </c>
      <c r="R143" s="16">
        <f>8.686*P143/2/'Enter data'!C$46</f>
        <v>2.4090842544461855</v>
      </c>
      <c r="S143" s="16">
        <f t="shared" si="68"/>
        <v>0.21733572103241819</v>
      </c>
      <c r="T143" s="16">
        <f t="shared" si="69"/>
        <v>0.73429780981656467</v>
      </c>
      <c r="U143">
        <f t="shared" si="61"/>
        <v>36.047718395754544</v>
      </c>
      <c r="V143">
        <f>U143/(2*'Enter data'!$C$46)</f>
        <v>0.35944269951753893</v>
      </c>
      <c r="W143">
        <f t="shared" si="62"/>
        <v>3.1220761548854008</v>
      </c>
      <c r="Y143" s="1"/>
      <c r="Z143" s="1">
        <f>4*PI()^2*D143*'Enter data'!$C$85*'Enter data'!$E$15*'Enter data'!$E$16/LN('Enter data'!$C$45)</f>
        <v>1.6319976885398764E-3</v>
      </c>
      <c r="AA143" s="16">
        <f>27.28753*'Enter data'!$E$15^0.5*'Enter data'!$E$16*D143/'Enter data'!$C$86</f>
        <v>0.35515788738975684</v>
      </c>
      <c r="AB143" s="16">
        <f t="shared" ref="AB143:AB157" si="85">AA143/3.2808</f>
        <v>0.10825344043823361</v>
      </c>
      <c r="AD143">
        <f>2*PI()/'Enter data'!$E$11/LN($C$3/$C$2)</f>
        <v>5.1880404392247992E-18</v>
      </c>
      <c r="AE143" s="14">
        <f>8.686*AD143*'Enter data'!$C$46/2</f>
        <v>1.1298253133715425E-15</v>
      </c>
      <c r="AF143" s="16">
        <f t="shared" si="70"/>
        <v>3.4437494311495441E-16</v>
      </c>
      <c r="AH143" s="1">
        <f t="shared" si="64"/>
        <v>3.4772771753991014</v>
      </c>
      <c r="AI143" s="16">
        <f t="shared" si="71"/>
        <v>1.059886971287217</v>
      </c>
      <c r="AK143" s="1">
        <f t="shared" si="72"/>
        <v>0.48540644248348874</v>
      </c>
      <c r="AL143" s="1">
        <f t="shared" si="63"/>
        <v>1.6400106061410396</v>
      </c>
      <c r="AM143" s="1">
        <f t="shared" si="73"/>
        <v>2.1254170486245281</v>
      </c>
      <c r="AN143" s="1">
        <f t="shared" si="74"/>
        <v>2.4805749360142864</v>
      </c>
      <c r="AP143" s="1">
        <f t="shared" si="75"/>
        <v>0.71303503356315767</v>
      </c>
      <c r="AQ143" s="1">
        <f t="shared" si="76"/>
        <v>2.4090842544461855</v>
      </c>
      <c r="AR143" s="1">
        <f t="shared" si="77"/>
        <v>3.1221192880093431</v>
      </c>
      <c r="AS143" s="1">
        <f t="shared" si="78"/>
        <v>3.4772771753991014</v>
      </c>
      <c r="AU143" s="1">
        <f t="shared" si="79"/>
        <v>0.6410006692974396</v>
      </c>
      <c r="AV143" s="1">
        <f t="shared" si="80"/>
        <v>2.9931908227792072</v>
      </c>
      <c r="AW143" s="1">
        <f t="shared" si="81"/>
        <v>3.6341914920766469</v>
      </c>
      <c r="AX143" s="1">
        <f t="shared" si="82"/>
        <v>3.9893493794664052</v>
      </c>
    </row>
    <row r="144" spans="4:50" x14ac:dyDescent="0.25">
      <c r="D144" s="1">
        <f>D143*'Enter data'!$C$77</f>
        <v>10720188997.018442</v>
      </c>
      <c r="E144">
        <f t="shared" si="65"/>
        <v>10.720188997018441</v>
      </c>
      <c r="G144" s="1">
        <f t="shared" si="83"/>
        <v>6.2873390562204127E-7</v>
      </c>
      <c r="H144" s="1">
        <f t="shared" si="84"/>
        <v>6.2873390562204127E-7</v>
      </c>
      <c r="I144" s="1">
        <f t="shared" si="59"/>
        <v>1.8591960527144088E-9</v>
      </c>
      <c r="J144" s="1">
        <f t="shared" si="60"/>
        <v>5.505794464229199E-10</v>
      </c>
      <c r="K144" s="1">
        <f>'Enter data'!$C$86/D144</f>
        <v>2.796522132990192E-2</v>
      </c>
      <c r="L144" s="1"/>
      <c r="M144" s="24">
        <f>1+(2/PI())*ATAN(1.4*('Enter data'!C$32/G144)^2)</f>
        <v>1</v>
      </c>
      <c r="N144" s="24">
        <f>1+(2/PI())*ATAN(1.4*('Enter data'!D$32/H144)^2)</f>
        <v>1</v>
      </c>
      <c r="O144" s="1">
        <f t="shared" si="66"/>
        <v>8.9985130807342006</v>
      </c>
      <c r="P144" s="1">
        <f t="shared" si="67"/>
        <v>30.386168805780457</v>
      </c>
      <c r="Q144" s="16">
        <f>8.686*O144/2/'Enter data'!C$46</f>
        <v>0.77936780753573009</v>
      </c>
      <c r="R144" s="16">
        <f>8.686*P144/2/'Enter data'!C$46</f>
        <v>2.6317683320675309</v>
      </c>
      <c r="S144" s="16">
        <f t="shared" si="68"/>
        <v>0.23755419639591868</v>
      </c>
      <c r="T144" s="16">
        <f t="shared" si="69"/>
        <v>0.80217274203472655</v>
      </c>
      <c r="U144">
        <f t="shared" si="61"/>
        <v>39.384681886514656</v>
      </c>
      <c r="V144">
        <f>U144/(2*'Enter data'!$C$46)</f>
        <v>0.39271657144868305</v>
      </c>
      <c r="W144">
        <f t="shared" si="62"/>
        <v>3.4110890136146867</v>
      </c>
      <c r="Y144" s="1"/>
      <c r="Z144" s="1">
        <f>4*PI()^2*D144*'Enter data'!$C$85*'Enter data'!$E$15*'Enter data'!$E$16/LN('Enter data'!$C$45)</f>
        <v>1.9492832129902932E-3</v>
      </c>
      <c r="AA144" s="16">
        <f>27.28753*'Enter data'!$E$15^0.5*'Enter data'!$E$16*D144/'Enter data'!$C$86</f>
        <v>0.42420605905964437</v>
      </c>
      <c r="AB144" s="16">
        <f t="shared" si="85"/>
        <v>0.12929957908426126</v>
      </c>
      <c r="AD144">
        <f>2*PI()/'Enter data'!$E$11/LN($C$3/$C$2)</f>
        <v>5.1880404392247992E-18</v>
      </c>
      <c r="AE144" s="14">
        <f>8.686*AD144*'Enter data'!$C$46/2</f>
        <v>1.1298253133715425E-15</v>
      </c>
      <c r="AF144" s="16">
        <f t="shared" si="70"/>
        <v>3.4437494311495441E-16</v>
      </c>
      <c r="AH144" s="1">
        <f t="shared" si="64"/>
        <v>3.8353421986629068</v>
      </c>
      <c r="AI144" s="16">
        <f t="shared" si="71"/>
        <v>1.1690265175149068</v>
      </c>
      <c r="AK144" s="1">
        <f t="shared" si="72"/>
        <v>0.53056320802583112</v>
      </c>
      <c r="AL144" s="1">
        <f t="shared" si="63"/>
        <v>1.7916052415066244</v>
      </c>
      <c r="AM144" s="1">
        <f t="shared" si="73"/>
        <v>2.3221684495324553</v>
      </c>
      <c r="AN144" s="1">
        <f t="shared" si="74"/>
        <v>2.7463745085921012</v>
      </c>
      <c r="AP144" s="1">
        <f t="shared" si="75"/>
        <v>0.77936780753573009</v>
      </c>
      <c r="AQ144" s="1">
        <f t="shared" si="76"/>
        <v>2.6317683320675309</v>
      </c>
      <c r="AR144" s="1">
        <f t="shared" si="77"/>
        <v>3.4111361396032609</v>
      </c>
      <c r="AS144" s="1">
        <f t="shared" si="78"/>
        <v>3.8353421986629064</v>
      </c>
      <c r="AU144" s="1">
        <f t="shared" si="79"/>
        <v>0.70063217477943296</v>
      </c>
      <c r="AV144" s="1">
        <f t="shared" si="80"/>
        <v>3.269866881860624</v>
      </c>
      <c r="AW144" s="1">
        <f t="shared" si="81"/>
        <v>3.9704990566400569</v>
      </c>
      <c r="AX144" s="1">
        <f t="shared" si="82"/>
        <v>4.3947051156997023</v>
      </c>
    </row>
    <row r="145" spans="2:50" x14ac:dyDescent="0.25">
      <c r="D145" s="1">
        <f>D144*'Enter data'!$C$77</f>
        <v>12804359098.490664</v>
      </c>
      <c r="E145">
        <f t="shared" si="65"/>
        <v>12.804359098490664</v>
      </c>
      <c r="G145" s="1">
        <f t="shared" si="83"/>
        <v>5.7529311884340886E-7</v>
      </c>
      <c r="H145" s="1">
        <f t="shared" si="84"/>
        <v>5.7529311884340886E-7</v>
      </c>
      <c r="I145" s="1">
        <f t="shared" si="59"/>
        <v>1.700975934330101E-9</v>
      </c>
      <c r="J145" s="1">
        <f t="shared" si="60"/>
        <v>5.0397476136933896E-10</v>
      </c>
      <c r="K145" s="1">
        <f>'Enter data'!$C$86/D145</f>
        <v>2.3413312270767116E-2</v>
      </c>
      <c r="L145" s="1"/>
      <c r="M145" s="24">
        <f>1+(2/PI())*ATAN(1.4*('Enter data'!C$32/G145)^2)</f>
        <v>1</v>
      </c>
      <c r="N145" s="24">
        <f>1+(2/PI())*ATAN(1.4*('Enter data'!D$32/H145)^2)</f>
        <v>1</v>
      </c>
      <c r="O145" s="1">
        <f t="shared" si="66"/>
        <v>9.8355300991303043</v>
      </c>
      <c r="P145" s="1">
        <f t="shared" si="67"/>
        <v>33.196106794203899</v>
      </c>
      <c r="Q145" s="16">
        <f>8.686*O145/2/'Enter data'!C$46</f>
        <v>0.85186246444678482</v>
      </c>
      <c r="R145" s="16">
        <f>8.686*P145/2/'Enter data'!C$46</f>
        <v>2.875139118963165</v>
      </c>
      <c r="S145" s="16">
        <f t="shared" si="68"/>
        <v>0.25965083651755205</v>
      </c>
      <c r="T145" s="16">
        <f t="shared" si="69"/>
        <v>0.87635305991318124</v>
      </c>
      <c r="U145">
        <f t="shared" si="61"/>
        <v>43.031636893334202</v>
      </c>
      <c r="V145">
        <f>U145/(2*'Enter data'!$C$46)</f>
        <v>0.42908146251553647</v>
      </c>
      <c r="W145">
        <f t="shared" si="62"/>
        <v>3.7269500936344477</v>
      </c>
      <c r="Y145" s="1"/>
      <c r="Z145" s="1">
        <f>4*PI()^2*D145*'Enter data'!$C$85*'Enter data'!$E$15*'Enter data'!$E$16/LN('Enter data'!$C$45)</f>
        <v>2.3282539375685633E-3</v>
      </c>
      <c r="AA145" s="16">
        <f>27.28753*'Enter data'!$E$15^0.5*'Enter data'!$E$16*D145/'Enter data'!$C$86</f>
        <v>0.506678260380103</v>
      </c>
      <c r="AB145" s="16">
        <f t="shared" si="85"/>
        <v>0.15443741172278194</v>
      </c>
      <c r="AD145">
        <f>2*PI()/'Enter data'!$E$11/LN($C$3/$C$2)</f>
        <v>5.1880404392247992E-18</v>
      </c>
      <c r="AE145" s="14">
        <f>8.686*AD145*'Enter data'!$C$46/2</f>
        <v>1.1298253133715425E-15</v>
      </c>
      <c r="AF145" s="16">
        <f t="shared" si="70"/>
        <v>3.4437494311495441E-16</v>
      </c>
      <c r="AH145" s="1">
        <f t="shared" si="64"/>
        <v>4.2336798437900534</v>
      </c>
      <c r="AI145" s="16">
        <f t="shared" si="71"/>
        <v>1.2904413081535153</v>
      </c>
      <c r="AK145" s="1">
        <f t="shared" si="72"/>
        <v>0.57991474315925762</v>
      </c>
      <c r="AL145" s="1">
        <f t="shared" si="63"/>
        <v>1.957282581764483</v>
      </c>
      <c r="AM145" s="1">
        <f t="shared" si="73"/>
        <v>2.5371973249237407</v>
      </c>
      <c r="AN145" s="1">
        <f t="shared" si="74"/>
        <v>3.0438755853038453</v>
      </c>
      <c r="AP145" s="1">
        <f t="shared" si="75"/>
        <v>0.85186246444678482</v>
      </c>
      <c r="AQ145" s="1">
        <f t="shared" si="76"/>
        <v>2.875139118963165</v>
      </c>
      <c r="AR145" s="1">
        <f t="shared" si="77"/>
        <v>3.7270015834099497</v>
      </c>
      <c r="AS145" s="1">
        <f t="shared" si="78"/>
        <v>4.2336798437900542</v>
      </c>
      <c r="AU145" s="1">
        <f t="shared" si="79"/>
        <v>0.76580305897604839</v>
      </c>
      <c r="AV145" s="1">
        <f t="shared" si="80"/>
        <v>3.5722453497469737</v>
      </c>
      <c r="AW145" s="1">
        <f t="shared" si="81"/>
        <v>4.3380484087230222</v>
      </c>
      <c r="AX145" s="1">
        <f t="shared" si="82"/>
        <v>4.8447266691031263</v>
      </c>
    </row>
    <row r="146" spans="2:50" x14ac:dyDescent="0.25">
      <c r="D146" s="1">
        <f>D145*'Enter data'!$C$77</f>
        <v>15293724016.31163</v>
      </c>
      <c r="E146">
        <f t="shared" si="65"/>
        <v>15.29372401631163</v>
      </c>
      <c r="G146" s="1">
        <f t="shared" si="83"/>
        <v>5.263946633530721E-7</v>
      </c>
      <c r="H146" s="1">
        <f t="shared" si="84"/>
        <v>5.263946633530721E-7</v>
      </c>
      <c r="I146" s="1">
        <f t="shared" si="59"/>
        <v>1.5562355670884799E-9</v>
      </c>
      <c r="J146" s="1">
        <f t="shared" si="60"/>
        <v>4.6129991379175825E-10</v>
      </c>
      <c r="K146" s="1">
        <f>'Enter data'!$C$86/D146</f>
        <v>1.9602319074167561E-2</v>
      </c>
      <c r="L146" s="1"/>
      <c r="M146" s="24">
        <f>1+(2/PI())*ATAN(1.4*('Enter data'!C$32/G146)^2)</f>
        <v>1</v>
      </c>
      <c r="N146" s="24">
        <f>1+(2/PI())*ATAN(1.4*('Enter data'!D$32/H146)^2)</f>
        <v>1</v>
      </c>
      <c r="O146" s="1">
        <f t="shared" si="66"/>
        <v>10.750300503219906</v>
      </c>
      <c r="P146" s="1">
        <f t="shared" si="67"/>
        <v>36.267078097812785</v>
      </c>
      <c r="Q146" s="16">
        <f>8.686*O146/2/'Enter data'!C$46</f>
        <v>0.93109139903157712</v>
      </c>
      <c r="R146" s="16">
        <f>8.686*P146/2/'Enter data'!C$46</f>
        <v>3.141118192441771</v>
      </c>
      <c r="S146" s="16">
        <f t="shared" si="68"/>
        <v>0.2838001094341554</v>
      </c>
      <c r="T146" s="16">
        <f t="shared" si="69"/>
        <v>0.95742446733777464</v>
      </c>
      <c r="U146">
        <f t="shared" si="61"/>
        <v>47.017378601032689</v>
      </c>
      <c r="V146">
        <f>U146/(2*'Enter data'!$C$46)</f>
        <v>0.46882449821245087</v>
      </c>
      <c r="W146">
        <f t="shared" si="62"/>
        <v>4.0721533325335626</v>
      </c>
      <c r="Y146" s="1"/>
      <c r="Z146" s="1">
        <f>4*PI()^2*D146*'Enter data'!$C$85*'Enter data'!$E$15*'Enter data'!$E$16/LN('Enter data'!$C$45)</f>
        <v>2.7809024166825947E-3</v>
      </c>
      <c r="AA146" s="16">
        <f>27.28753*'Enter data'!$E$15^0.5*'Enter data'!$E$16*D146/'Enter data'!$C$86</f>
        <v>0.60518432978278514</v>
      </c>
      <c r="AB146" s="16">
        <f t="shared" si="85"/>
        <v>0.18446242678090255</v>
      </c>
      <c r="AD146">
        <f>2*PI()/'Enter data'!$E$11/LN($C$3/$C$2)</f>
        <v>5.1880404392247992E-18</v>
      </c>
      <c r="AE146" s="14">
        <f>8.686*AD146*'Enter data'!$C$46/2</f>
        <v>1.1298253133715425E-15</v>
      </c>
      <c r="AF146" s="16">
        <f t="shared" si="70"/>
        <v>3.4437494311495441E-16</v>
      </c>
      <c r="AH146" s="1">
        <f t="shared" si="64"/>
        <v>4.6773939212561348</v>
      </c>
      <c r="AI146" s="16">
        <f t="shared" si="71"/>
        <v>1.4256870035528331</v>
      </c>
      <c r="AK146" s="1">
        <f t="shared" si="72"/>
        <v>0.6338507118961354</v>
      </c>
      <c r="AL146" s="1">
        <f t="shared" si="63"/>
        <v>2.1383507618048525</v>
      </c>
      <c r="AM146" s="1">
        <f t="shared" si="73"/>
        <v>2.7722014737009877</v>
      </c>
      <c r="AN146" s="1">
        <f t="shared" si="74"/>
        <v>3.377385803483774</v>
      </c>
      <c r="AP146" s="1">
        <f t="shared" si="75"/>
        <v>0.93109139903157712</v>
      </c>
      <c r="AQ146" s="1">
        <f t="shared" si="76"/>
        <v>3.141118192441771</v>
      </c>
      <c r="AR146" s="1">
        <f t="shared" si="77"/>
        <v>4.0722095914733485</v>
      </c>
      <c r="AS146" s="1">
        <f t="shared" si="78"/>
        <v>4.6773939212561348</v>
      </c>
      <c r="AU146" s="1">
        <f t="shared" si="79"/>
        <v>0.83702789044441206</v>
      </c>
      <c r="AV146" s="1">
        <f t="shared" si="80"/>
        <v>3.9027137093812025</v>
      </c>
      <c r="AW146" s="1">
        <f t="shared" si="81"/>
        <v>4.7397415998256145</v>
      </c>
      <c r="AX146" s="1">
        <f t="shared" si="82"/>
        <v>5.3449259296084008</v>
      </c>
    </row>
    <row r="147" spans="2:50" x14ac:dyDescent="0.25">
      <c r="D147" s="1">
        <f>D146*'Enter data'!$C$77</f>
        <v>18267059872.967659</v>
      </c>
      <c r="E147">
        <f t="shared" si="65"/>
        <v>18.267059872967661</v>
      </c>
      <c r="G147" s="1">
        <f t="shared" si="83"/>
        <v>4.816524525161521E-7</v>
      </c>
      <c r="H147" s="1">
        <f t="shared" si="84"/>
        <v>4.816524525161521E-7</v>
      </c>
      <c r="I147" s="1">
        <f t="shared" si="59"/>
        <v>1.4238240884341462E-9</v>
      </c>
      <c r="J147" s="1">
        <f t="shared" si="60"/>
        <v>4.2222599538391892E-10</v>
      </c>
      <c r="K147" s="1">
        <f>'Enter data'!$C$86/D147</f>
        <v>1.6411642600659842E-2</v>
      </c>
      <c r="L147" s="1"/>
      <c r="M147" s="24">
        <f>1+(2/PI())*ATAN(1.4*('Enter data'!C$32/G147)^2)</f>
        <v>1</v>
      </c>
      <c r="N147" s="24">
        <f>1+(2/PI())*ATAN(1.4*('Enter data'!D$32/H147)^2)</f>
        <v>1</v>
      </c>
      <c r="O147" s="1">
        <f t="shared" si="66"/>
        <v>11.75004702891272</v>
      </c>
      <c r="P147" s="1">
        <f t="shared" si="67"/>
        <v>39.623330119188552</v>
      </c>
      <c r="Q147" s="16">
        <f>8.686*O147/2/'Enter data'!C$46</f>
        <v>1.0176801777364581</v>
      </c>
      <c r="R147" s="16">
        <f>8.686*P147/2/'Enter data'!C$46</f>
        <v>3.4318056377973067</v>
      </c>
      <c r="S147" s="16">
        <f t="shared" si="68"/>
        <v>0.31019269011718426</v>
      </c>
      <c r="T147" s="16">
        <f t="shared" si="69"/>
        <v>1.0460270780898886</v>
      </c>
      <c r="U147">
        <f t="shared" si="61"/>
        <v>51.37337714810127</v>
      </c>
      <c r="V147">
        <f>U147/(2*'Enter data'!$C$46)</f>
        <v>0.51225947680563721</v>
      </c>
      <c r="W147">
        <f t="shared" si="62"/>
        <v>4.4494243443965473</v>
      </c>
      <c r="Y147" s="1"/>
      <c r="Z147" s="1">
        <f>4*PI()^2*D147*'Enter data'!$C$85*'Enter data'!$E$15*'Enter data'!$E$16/LN('Enter data'!$C$45)</f>
        <v>3.3215527423040639E-3</v>
      </c>
      <c r="AA147" s="16">
        <f>27.28753*'Enter data'!$E$15^0.5*'Enter data'!$E$16*D147/'Enter data'!$C$86</f>
        <v>0.72284149854758828</v>
      </c>
      <c r="AB147" s="16">
        <f t="shared" si="85"/>
        <v>0.22032476790648264</v>
      </c>
      <c r="AD147">
        <f>2*PI()/'Enter data'!$E$11/LN($C$3/$C$2)</f>
        <v>5.1880404392247992E-18</v>
      </c>
      <c r="AE147" s="14">
        <f>8.686*AD147*'Enter data'!$C$46/2</f>
        <v>1.1298253133715425E-15</v>
      </c>
      <c r="AF147" s="16">
        <f t="shared" si="70"/>
        <v>3.4437494311495441E-16</v>
      </c>
      <c r="AH147" s="1">
        <f t="shared" si="64"/>
        <v>5.1723273140813539</v>
      </c>
      <c r="AI147" s="16">
        <f t="shared" si="71"/>
        <v>1.5765445361135557</v>
      </c>
      <c r="AK147" s="1">
        <f t="shared" si="72"/>
        <v>0.6927969754760489</v>
      </c>
      <c r="AL147" s="1">
        <f t="shared" si="63"/>
        <v>2.336239437792532</v>
      </c>
      <c r="AM147" s="1">
        <f t="shared" si="73"/>
        <v>3.0290364132685808</v>
      </c>
      <c r="AN147" s="1">
        <f t="shared" si="74"/>
        <v>3.7518779118161705</v>
      </c>
      <c r="AP147" s="1">
        <f t="shared" si="75"/>
        <v>1.0176801777364581</v>
      </c>
      <c r="AQ147" s="1">
        <f t="shared" si="76"/>
        <v>3.4318056377973067</v>
      </c>
      <c r="AR147" s="1">
        <f t="shared" si="77"/>
        <v>4.4494858155337651</v>
      </c>
      <c r="AS147" s="1">
        <f t="shared" si="78"/>
        <v>5.1723273140813539</v>
      </c>
      <c r="AU147" s="1">
        <f t="shared" si="79"/>
        <v>0.91486903778063244</v>
      </c>
      <c r="AV147" s="1">
        <f t="shared" si="80"/>
        <v>4.2638812327376412</v>
      </c>
      <c r="AW147" s="1">
        <f t="shared" si="81"/>
        <v>5.1787502705182735</v>
      </c>
      <c r="AX147" s="1">
        <f t="shared" si="82"/>
        <v>5.9015917690658624</v>
      </c>
    </row>
    <row r="148" spans="2:50" x14ac:dyDescent="0.25">
      <c r="D148" s="1">
        <f>D147*'Enter data'!$C$77</f>
        <v>21818458084.289383</v>
      </c>
      <c r="E148">
        <f t="shared" si="65"/>
        <v>21.818458084289382</v>
      </c>
      <c r="G148" s="1">
        <f t="shared" si="83"/>
        <v>4.407132160821712E-7</v>
      </c>
      <c r="H148" s="1">
        <f t="shared" si="84"/>
        <v>4.407132160821712E-7</v>
      </c>
      <c r="I148" s="1">
        <f t="shared" si="59"/>
        <v>1.3026892892527936E-9</v>
      </c>
      <c r="J148" s="1">
        <f t="shared" si="60"/>
        <v>3.8645122116729614E-10</v>
      </c>
      <c r="K148" s="1">
        <f>'Enter data'!$C$86/D148</f>
        <v>1.3740313675780271E-2</v>
      </c>
      <c r="L148" s="1"/>
      <c r="M148" s="24">
        <f>1+(2/PI())*ATAN(1.4*('Enter data'!C$32/G148)^2)</f>
        <v>1</v>
      </c>
      <c r="N148" s="24">
        <f>1+(2/PI())*ATAN(1.4*('Enter data'!D$32/H148)^2)</f>
        <v>1</v>
      </c>
      <c r="O148" s="1">
        <f t="shared" si="66"/>
        <v>12.842663356506232</v>
      </c>
      <c r="P148" s="1">
        <f t="shared" si="67"/>
        <v>43.291362748100937</v>
      </c>
      <c r="Q148" s="16">
        <f>8.686*O148/2/'Enter data'!C$46</f>
        <v>1.1123124779925375</v>
      </c>
      <c r="R148" s="16">
        <f>8.686*P148/2/'Enter data'!C$46</f>
        <v>3.7494966298886041</v>
      </c>
      <c r="S148" s="16">
        <f t="shared" si="68"/>
        <v>0.33903696598163174</v>
      </c>
      <c r="T148" s="16">
        <f t="shared" si="69"/>
        <v>1.1428604699733613</v>
      </c>
      <c r="U148">
        <f t="shared" si="61"/>
        <v>56.134026104607173</v>
      </c>
      <c r="V148">
        <f>U148/(2*'Enter data'!$C$46)</f>
        <v>0.5597293469814808</v>
      </c>
      <c r="W148">
        <f t="shared" si="62"/>
        <v>4.8617419403595044</v>
      </c>
      <c r="Y148" s="1"/>
      <c r="Z148" s="1">
        <f>4*PI()^2*D148*'Enter data'!$C$85*'Enter data'!$E$15*'Enter data'!$E$16/LN('Enter data'!$C$45)</f>
        <v>3.9673138308351109E-3</v>
      </c>
      <c r="AA148" s="16">
        <f>27.28753*'Enter data'!$E$15^0.5*'Enter data'!$E$16*D148/'Enter data'!$C$86</f>
        <v>0.86337303579896152</v>
      </c>
      <c r="AB148" s="16">
        <f t="shared" si="85"/>
        <v>0.26315930132862764</v>
      </c>
      <c r="AD148">
        <f>2*PI()/'Enter data'!$E$11/LN($C$3/$C$2)</f>
        <v>5.1880404392247992E-18</v>
      </c>
      <c r="AE148" s="14">
        <f>8.686*AD148*'Enter data'!$C$46/2</f>
        <v>1.1298253133715425E-15</v>
      </c>
      <c r="AF148" s="16">
        <f t="shared" si="70"/>
        <v>3.4437494311495441E-16</v>
      </c>
      <c r="AH148" s="1">
        <f t="shared" si="64"/>
        <v>5.7251821436801036</v>
      </c>
      <c r="AI148" s="16">
        <f t="shared" si="71"/>
        <v>1.7450567372836208</v>
      </c>
      <c r="AK148" s="1">
        <f t="shared" si="72"/>
        <v>0.7572189548306778</v>
      </c>
      <c r="AL148" s="1">
        <f t="shared" si="63"/>
        <v>2.5525110752595959</v>
      </c>
      <c r="AM148" s="1">
        <f t="shared" si="73"/>
        <v>3.3097300300902734</v>
      </c>
      <c r="AN148" s="1">
        <f t="shared" si="74"/>
        <v>4.1731030658892365</v>
      </c>
      <c r="AP148" s="1">
        <f t="shared" si="75"/>
        <v>1.1123124779925375</v>
      </c>
      <c r="AQ148" s="1">
        <f t="shared" si="76"/>
        <v>3.7494966298886041</v>
      </c>
      <c r="AR148" s="1">
        <f t="shared" si="77"/>
        <v>4.8618091078811414</v>
      </c>
      <c r="AS148" s="1">
        <f t="shared" si="78"/>
        <v>5.7251821436801036</v>
      </c>
      <c r="AU148" s="1">
        <f t="shared" si="79"/>
        <v>0.9999411099033414</v>
      </c>
      <c r="AV148" s="1">
        <f t="shared" si="80"/>
        <v>4.6585995827713944</v>
      </c>
      <c r="AW148" s="1">
        <f t="shared" si="81"/>
        <v>5.6585406926747357</v>
      </c>
      <c r="AX148" s="1">
        <f t="shared" si="82"/>
        <v>6.5219137284736979</v>
      </c>
    </row>
    <row r="149" spans="2:50" x14ac:dyDescent="0.25">
      <c r="D149" s="1">
        <f>D148*'Enter data'!$C$77</f>
        <v>26060302888.718494</v>
      </c>
      <c r="E149">
        <f t="shared" si="65"/>
        <v>26.060302888718493</v>
      </c>
      <c r="G149" s="1">
        <f t="shared" si="83"/>
        <v>4.0325371087563828E-7</v>
      </c>
      <c r="H149" s="1">
        <f t="shared" si="84"/>
        <v>4.0325371087563828E-7</v>
      </c>
      <c r="I149" s="1">
        <f t="shared" si="59"/>
        <v>1.191869092984173E-9</v>
      </c>
      <c r="J149" s="1">
        <f t="shared" si="60"/>
        <v>3.5369875967189482E-10</v>
      </c>
      <c r="K149" s="1">
        <f>'Enter data'!$C$86/D149</f>
        <v>1.1503797913637457E-2</v>
      </c>
      <c r="L149" s="1"/>
      <c r="M149" s="24">
        <f>1+(2/PI())*ATAN(1.4*('Enter data'!C$32/G149)^2)</f>
        <v>1</v>
      </c>
      <c r="N149" s="24">
        <f>1+(2/PI())*ATAN(1.4*('Enter data'!D$32/H149)^2)</f>
        <v>1</v>
      </c>
      <c r="O149" s="1">
        <f t="shared" si="66"/>
        <v>14.03677643667379</v>
      </c>
      <c r="P149" s="1">
        <f t="shared" si="67"/>
        <v>47.300137595957139</v>
      </c>
      <c r="Q149" s="16">
        <f>8.686*O149/2/'Enter data'!C$46</f>
        <v>1.2157354863151519</v>
      </c>
      <c r="R149" s="16">
        <f>8.686*P149/2/'Enter data'!C$46</f>
        <v>4.0966995550882359</v>
      </c>
      <c r="S149" s="16">
        <f t="shared" si="68"/>
        <v>0.37056068224675442</v>
      </c>
      <c r="T149" s="16">
        <f t="shared" si="69"/>
        <v>1.248689208451669</v>
      </c>
      <c r="U149">
        <f t="shared" si="61"/>
        <v>61.336914032630929</v>
      </c>
      <c r="V149">
        <f>U149/(2*'Enter data'!$C$46)</f>
        <v>0.61160891565776976</v>
      </c>
      <c r="W149">
        <f t="shared" si="62"/>
        <v>5.3123616483335088</v>
      </c>
      <c r="Y149" s="1"/>
      <c r="Z149" s="1">
        <f>4*PI()^2*D149*'Enter data'!$C$85*'Enter data'!$E$15*'Enter data'!$E$16/LN('Enter data'!$C$45)</f>
        <v>4.7386208359339451E-3</v>
      </c>
      <c r="AA149" s="16">
        <f>27.28753*'Enter data'!$E$15^0.5*'Enter data'!$E$16*D149/'Enter data'!$C$86</f>
        <v>1.0312260716111068</v>
      </c>
      <c r="AB149" s="16">
        <f t="shared" si="85"/>
        <v>0.31432152877685526</v>
      </c>
      <c r="AD149">
        <f>2*PI()/'Enter data'!$E$11/LN($C$3/$C$2)</f>
        <v>5.1880404392247992E-18</v>
      </c>
      <c r="AE149" s="14">
        <f>8.686*AD149*'Enter data'!$C$46/2</f>
        <v>1.1298253133715425E-15</v>
      </c>
      <c r="AF149" s="16">
        <f t="shared" si="70"/>
        <v>3.4437494311495441E-16</v>
      </c>
      <c r="AH149" s="1">
        <f t="shared" si="64"/>
        <v>6.3436611130144955</v>
      </c>
      <c r="AI149" s="16">
        <f t="shared" si="71"/>
        <v>1.9335714194752789</v>
      </c>
      <c r="AK149" s="1">
        <f t="shared" si="72"/>
        <v>0.82762530539938906</v>
      </c>
      <c r="AL149" s="1">
        <f t="shared" si="63"/>
        <v>2.7888732858214222</v>
      </c>
      <c r="AM149" s="1">
        <f t="shared" si="73"/>
        <v>3.6164985912208114</v>
      </c>
      <c r="AN149" s="1">
        <f t="shared" si="74"/>
        <v>4.6477246628319193</v>
      </c>
      <c r="AP149" s="1">
        <f t="shared" si="75"/>
        <v>1.2157354863151519</v>
      </c>
      <c r="AQ149" s="1">
        <f t="shared" si="76"/>
        <v>4.0966995550882359</v>
      </c>
      <c r="AR149" s="1">
        <f t="shared" si="77"/>
        <v>5.3124350414033881</v>
      </c>
      <c r="AS149" s="1">
        <f t="shared" si="78"/>
        <v>6.3436611130144955</v>
      </c>
      <c r="AU149" s="1">
        <f t="shared" si="79"/>
        <v>1.0929158088101636</v>
      </c>
      <c r="AV149" s="1">
        <f t="shared" si="80"/>
        <v>5.0899853292149295</v>
      </c>
      <c r="AW149" s="1">
        <f t="shared" si="81"/>
        <v>6.1829011380250929</v>
      </c>
      <c r="AX149" s="1">
        <f t="shared" si="82"/>
        <v>7.2141272096362004</v>
      </c>
    </row>
    <row r="150" spans="2:50" x14ac:dyDescent="0.25">
      <c r="D150" s="1">
        <f>D149*'Enter data'!$C$77</f>
        <v>31126827754.19273</v>
      </c>
      <c r="E150">
        <f t="shared" si="65"/>
        <v>31.126827754192728</v>
      </c>
      <c r="G150" s="1">
        <f t="shared" si="83"/>
        <v>3.6897816857085922E-7</v>
      </c>
      <c r="H150" s="1">
        <f t="shared" si="84"/>
        <v>3.6897816857085922E-7</v>
      </c>
      <c r="I150" s="1">
        <f t="shared" si="59"/>
        <v>1.0904837810596643E-9</v>
      </c>
      <c r="J150" s="1">
        <f t="shared" si="60"/>
        <v>3.2371472547535342E-10</v>
      </c>
      <c r="K150" s="1">
        <f>'Enter data'!$C$86/D150</f>
        <v>9.631320620509377E-3</v>
      </c>
      <c r="L150" s="1"/>
      <c r="M150" s="24">
        <f>1+(2/PI())*ATAN(1.4*('Enter data'!C$32/G150)^2)</f>
        <v>1</v>
      </c>
      <c r="N150" s="24">
        <f>1+(2/PI())*ATAN(1.4*('Enter data'!D$32/H150)^2)</f>
        <v>1</v>
      </c>
      <c r="O150" s="1">
        <f t="shared" si="66"/>
        <v>15.341814606121723</v>
      </c>
      <c r="P150" s="1">
        <f t="shared" si="67"/>
        <v>51.681306667261168</v>
      </c>
      <c r="Q150" s="16">
        <f>8.686*O150/2/'Enter data'!C$46</f>
        <v>1.3287657978508098</v>
      </c>
      <c r="R150" s="16">
        <f>8.686*P150/2/'Enter data'!C$46</f>
        <v>4.4761558166850657</v>
      </c>
      <c r="S150" s="16">
        <f t="shared" si="68"/>
        <v>0.40501274013984689</v>
      </c>
      <c r="T150" s="16">
        <f t="shared" si="69"/>
        <v>1.3643488834080302</v>
      </c>
      <c r="U150">
        <f t="shared" si="61"/>
        <v>67.023121273382884</v>
      </c>
      <c r="V150">
        <f>U150/(2*'Enter data'!$C$46)</f>
        <v>0.66830780733777051</v>
      </c>
      <c r="W150">
        <f t="shared" si="62"/>
        <v>5.8048414175989933</v>
      </c>
      <c r="Y150" s="1"/>
      <c r="Z150" s="1">
        <f>4*PI()^2*D150*'Enter data'!$C$85*'Enter data'!$E$15*'Enter data'!$E$16/LN('Enter data'!$C$45)</f>
        <v>5.6598818203450986E-3</v>
      </c>
      <c r="AA150" s="16">
        <f>27.28753*'Enter data'!$E$15^0.5*'Enter data'!$E$16*D150/'Enter data'!$C$86</f>
        <v>1.2317123267422694</v>
      </c>
      <c r="AB150" s="16">
        <f t="shared" si="85"/>
        <v>0.37543048242570998</v>
      </c>
      <c r="AD150">
        <f>2*PI()/'Enter data'!$E$11/LN($C$3/$C$2)</f>
        <v>5.1880404392247992E-18</v>
      </c>
      <c r="AE150" s="14">
        <f>8.686*AD150*'Enter data'!$C$46/2</f>
        <v>1.1298253133715425E-15</v>
      </c>
      <c r="AF150" s="16">
        <f t="shared" si="70"/>
        <v>3.4437494311495441E-16</v>
      </c>
      <c r="AH150" s="1">
        <f t="shared" si="64"/>
        <v>7.0366339412781462</v>
      </c>
      <c r="AI150" s="16">
        <f t="shared" si="71"/>
        <v>2.1447921059735875</v>
      </c>
      <c r="AK150" s="1">
        <f t="shared" si="72"/>
        <v>0.90457193331071506</v>
      </c>
      <c r="AL150" s="1">
        <f t="shared" si="63"/>
        <v>3.0471923099223419</v>
      </c>
      <c r="AM150" s="1">
        <f t="shared" si="73"/>
        <v>3.9517642432330571</v>
      </c>
      <c r="AN150" s="1">
        <f t="shared" si="74"/>
        <v>5.183476569975328</v>
      </c>
      <c r="AP150" s="1">
        <f t="shared" si="75"/>
        <v>1.3287657978508098</v>
      </c>
      <c r="AQ150" s="1">
        <f t="shared" si="76"/>
        <v>4.4761558166850657</v>
      </c>
      <c r="AR150" s="1">
        <f t="shared" si="77"/>
        <v>5.8049216145358757</v>
      </c>
      <c r="AS150" s="1">
        <f t="shared" si="78"/>
        <v>7.0366339412781462</v>
      </c>
      <c r="AU150" s="1">
        <f t="shared" si="79"/>
        <v>1.1945272331229317</v>
      </c>
      <c r="AV150" s="1">
        <f t="shared" si="80"/>
        <v>5.5614445559985262</v>
      </c>
      <c r="AW150" s="1">
        <f t="shared" si="81"/>
        <v>6.7559717891214577</v>
      </c>
      <c r="AX150" s="1">
        <f t="shared" si="82"/>
        <v>7.9876841158637282</v>
      </c>
    </row>
    <row r="151" spans="2:50" x14ac:dyDescent="0.25">
      <c r="D151" s="1">
        <f>D150*'Enter data'!$C$77</f>
        <v>37178363205.387405</v>
      </c>
      <c r="E151">
        <f t="shared" si="65"/>
        <v>37.178363205387406</v>
      </c>
      <c r="G151" s="1">
        <f t="shared" si="83"/>
        <v>3.3761596039941191E-7</v>
      </c>
      <c r="H151" s="1">
        <f t="shared" si="84"/>
        <v>3.3761596039941191E-7</v>
      </c>
      <c r="I151" s="1">
        <f t="shared" si="59"/>
        <v>9.9772889763627007E-10</v>
      </c>
      <c r="J151" s="1">
        <f t="shared" si="60"/>
        <v>2.9626632389278522E-10</v>
      </c>
      <c r="K151" s="1">
        <f>'Enter data'!$C$86/D151</f>
        <v>8.0636271248368998E-3</v>
      </c>
      <c r="L151" s="1"/>
      <c r="M151" s="24">
        <f>1+(2/PI())*ATAN(1.4*('Enter data'!C$32/G151)^2)</f>
        <v>1</v>
      </c>
      <c r="N151" s="24">
        <f>1+(2/PI())*ATAN(1.4*('Enter data'!D$32/H151)^2)</f>
        <v>1</v>
      </c>
      <c r="O151" s="1">
        <f t="shared" si="66"/>
        <v>16.768082030735222</v>
      </c>
      <c r="P151" s="1">
        <f t="shared" si="67"/>
        <v>56.469462273593955</v>
      </c>
      <c r="Q151" s="16">
        <f>8.686*O151/2/'Enter data'!C$46</f>
        <v>1.4522958639525705</v>
      </c>
      <c r="R151" s="16">
        <f>8.686*P151/2/'Enter data'!C$46</f>
        <v>4.890861480117076</v>
      </c>
      <c r="S151" s="16">
        <f t="shared" si="68"/>
        <v>0.44266516214111512</v>
      </c>
      <c r="T151" s="16">
        <f t="shared" si="69"/>
        <v>1.4907527066925981</v>
      </c>
      <c r="U151">
        <f t="shared" si="61"/>
        <v>73.237544304329177</v>
      </c>
      <c r="V151">
        <f>U151/(2*'Enter data'!$C$46)</f>
        <v>0.73027369837320366</v>
      </c>
      <c r="W151">
        <f t="shared" si="62"/>
        <v>6.3430697112258416</v>
      </c>
      <c r="Y151" s="1"/>
      <c r="Z151" s="1">
        <f>4*PI()^2*D151*'Enter data'!$C$85*'Enter data'!$E$15*'Enter data'!$E$16/LN('Enter data'!$C$45)</f>
        <v>6.7602501507085123E-3</v>
      </c>
      <c r="AA151" s="16">
        <f>27.28753*'Enter data'!$E$15^0.5*'Enter data'!$E$16*D151/'Enter data'!$C$86</f>
        <v>1.4711762024001513</v>
      </c>
      <c r="AB151" s="16">
        <f t="shared" si="85"/>
        <v>0.44841995927827094</v>
      </c>
      <c r="AD151">
        <f>2*PI()/'Enter data'!$E$11/LN($C$3/$C$2)</f>
        <v>5.1880404392247992E-18</v>
      </c>
      <c r="AE151" s="14">
        <f>8.686*AD151*'Enter data'!$C$46/2</f>
        <v>1.1298253133715425E-15</v>
      </c>
      <c r="AF151" s="16">
        <f t="shared" si="70"/>
        <v>3.4437494311495441E-16</v>
      </c>
      <c r="AH151" s="1">
        <f t="shared" si="64"/>
        <v>7.8143335464697987</v>
      </c>
      <c r="AI151" s="16">
        <f t="shared" si="71"/>
        <v>2.3818378281119843</v>
      </c>
      <c r="AK151" s="1">
        <f t="shared" si="72"/>
        <v>0.98866638464021572</v>
      </c>
      <c r="AL151" s="1">
        <f t="shared" si="63"/>
        <v>3.3295077520659806</v>
      </c>
      <c r="AM151" s="1">
        <f t="shared" si="73"/>
        <v>4.3181741367061965</v>
      </c>
      <c r="AN151" s="1">
        <f t="shared" si="74"/>
        <v>5.789350339106349</v>
      </c>
      <c r="AP151" s="1">
        <f t="shared" si="75"/>
        <v>1.4522958639525705</v>
      </c>
      <c r="AQ151" s="1">
        <f t="shared" si="76"/>
        <v>4.890861480117076</v>
      </c>
      <c r="AR151" s="1">
        <f t="shared" si="77"/>
        <v>6.3431573440696463</v>
      </c>
      <c r="AS151" s="1">
        <f t="shared" si="78"/>
        <v>7.8143335464697987</v>
      </c>
      <c r="AU151" s="1">
        <f t="shared" si="79"/>
        <v>1.305577674296762</v>
      </c>
      <c r="AV151" s="1">
        <f t="shared" si="80"/>
        <v>6.0766997545862615</v>
      </c>
      <c r="AW151" s="1">
        <f t="shared" si="81"/>
        <v>7.3822774288830235</v>
      </c>
      <c r="AX151" s="1">
        <f t="shared" si="82"/>
        <v>8.8534536312831751</v>
      </c>
    </row>
    <row r="152" spans="2:50" x14ac:dyDescent="0.25">
      <c r="D152" s="1">
        <f>D151*'Enter data'!$C$77</f>
        <v>44406410494.096046</v>
      </c>
      <c r="E152">
        <f t="shared" si="65"/>
        <v>44.406410494096043</v>
      </c>
      <c r="G152" s="1">
        <f t="shared" si="83"/>
        <v>3.0891946035156138E-7</v>
      </c>
      <c r="H152" s="1">
        <f t="shared" si="84"/>
        <v>3.0891946035156138E-7</v>
      </c>
      <c r="I152" s="1">
        <f t="shared" si="59"/>
        <v>9.1286877288083585E-10</v>
      </c>
      <c r="J152" s="1">
        <f t="shared" si="60"/>
        <v>2.711401378926584E-10</v>
      </c>
      <c r="K152" s="1">
        <f>'Enter data'!$C$86/D152</f>
        <v>6.7511076591038185E-3</v>
      </c>
      <c r="L152" s="1"/>
      <c r="M152" s="24">
        <f>1+(2/PI())*ATAN(1.4*('Enter data'!C$32/G152)^2)</f>
        <v>1</v>
      </c>
      <c r="N152" s="24">
        <f>1+(2/PI())*ATAN(1.4*('Enter data'!D$32/H152)^2)</f>
        <v>1</v>
      </c>
      <c r="O152" s="1">
        <f t="shared" si="66"/>
        <v>18.326840063992314</v>
      </c>
      <c r="P152" s="1">
        <f t="shared" si="67"/>
        <v>61.70241016334969</v>
      </c>
      <c r="Q152" s="16">
        <f>8.686*O152/2/'Enter data'!C$46</f>
        <v>1.587301038691858</v>
      </c>
      <c r="R152" s="16">
        <f>8.686*P152/2/'Enter data'!C$46</f>
        <v>5.3440909289378462</v>
      </c>
      <c r="S152" s="16">
        <f t="shared" si="68"/>
        <v>0.48381523978659413</v>
      </c>
      <c r="T152" s="16">
        <f t="shared" si="69"/>
        <v>1.6288987225487217</v>
      </c>
      <c r="U152">
        <f t="shared" si="61"/>
        <v>80.029250227342004</v>
      </c>
      <c r="V152">
        <f>U152/(2*'Enter data'!$C$46)</f>
        <v>0.79799585167277276</v>
      </c>
      <c r="W152">
        <f t="shared" si="62"/>
        <v>6.9312962081275025</v>
      </c>
      <c r="Y152" s="1"/>
      <c r="Z152" s="1">
        <f>4*PI()^2*D152*'Enter data'!$C$85*'Enter data'!$E$15*'Enter data'!$E$16/LN('Enter data'!$C$45)</f>
        <v>8.0745470578337895E-3</v>
      </c>
      <c r="AA152" s="16">
        <f>27.28753*'Enter data'!$E$15^0.5*'Enter data'!$E$16*D152/'Enter data'!$C$86</f>
        <v>1.7571955492505309</v>
      </c>
      <c r="AB152" s="16">
        <f t="shared" si="85"/>
        <v>0.53559971630411207</v>
      </c>
      <c r="AD152">
        <f>2*PI()/'Enter data'!$E$11/LN($C$3/$C$2)</f>
        <v>5.1880404392247992E-18</v>
      </c>
      <c r="AE152" s="14">
        <f>8.686*AD152*'Enter data'!$C$46/2</f>
        <v>1.1298253133715425E-15</v>
      </c>
      <c r="AF152" s="16">
        <f t="shared" si="70"/>
        <v>3.4437494311495441E-16</v>
      </c>
      <c r="AH152" s="1">
        <f t="shared" si="64"/>
        <v>8.6885875168802364</v>
      </c>
      <c r="AI152" s="16">
        <f t="shared" si="71"/>
        <v>2.6483136786394281</v>
      </c>
      <c r="AK152" s="1">
        <f t="shared" si="72"/>
        <v>1.0805726424009079</v>
      </c>
      <c r="AL152" s="1">
        <f t="shared" si="63"/>
        <v>3.6380486848746569</v>
      </c>
      <c r="AM152" s="1">
        <f t="shared" si="73"/>
        <v>4.7186213272755646</v>
      </c>
      <c r="AN152" s="1">
        <f t="shared" si="74"/>
        <v>6.4758168765260962</v>
      </c>
      <c r="AP152" s="1">
        <f t="shared" si="75"/>
        <v>1.587301038691858</v>
      </c>
      <c r="AQ152" s="1">
        <f t="shared" si="76"/>
        <v>5.3440909289378462</v>
      </c>
      <c r="AR152" s="1">
        <f t="shared" si="77"/>
        <v>6.931391967629704</v>
      </c>
      <c r="AS152" s="1">
        <f t="shared" si="78"/>
        <v>8.6885875168802364</v>
      </c>
      <c r="AU152" s="1">
        <f t="shared" si="79"/>
        <v>1.4269439512580131</v>
      </c>
      <c r="AV152" s="1">
        <f t="shared" si="80"/>
        <v>6.6398192155681155</v>
      </c>
      <c r="AW152" s="1">
        <f t="shared" si="81"/>
        <v>8.0667631668261279</v>
      </c>
      <c r="AX152" s="1">
        <f t="shared" si="82"/>
        <v>9.8239587160766604</v>
      </c>
    </row>
    <row r="153" spans="2:50" x14ac:dyDescent="0.25">
      <c r="D153" s="1">
        <f>D152*'Enter data'!$C$77</f>
        <v>53039701669.395096</v>
      </c>
      <c r="E153">
        <f t="shared" si="65"/>
        <v>53.039701669395093</v>
      </c>
      <c r="G153" s="1">
        <f t="shared" si="83"/>
        <v>2.8266209000013296E-7</v>
      </c>
      <c r="H153" s="1">
        <f t="shared" si="84"/>
        <v>2.8266209000013296E-7</v>
      </c>
      <c r="I153" s="1">
        <f t="shared" si="59"/>
        <v>8.3523060971114113E-10</v>
      </c>
      <c r="J153" s="1">
        <f t="shared" si="60"/>
        <v>2.481405476680194E-10</v>
      </c>
      <c r="K153" s="1">
        <f>'Enter data'!$C$86/D153</f>
        <v>5.6522274553626661E-3</v>
      </c>
      <c r="L153" s="1"/>
      <c r="M153" s="24">
        <f>1+(2/PI())*ATAN(1.4*('Enter data'!C$32/G153)^2)</f>
        <v>1</v>
      </c>
      <c r="N153" s="24">
        <f>1+(2/PI())*ATAN(1.4*('Enter data'!D$32/H153)^2)</f>
        <v>1</v>
      </c>
      <c r="O153" s="1">
        <f t="shared" si="66"/>
        <v>20.030396163026111</v>
      </c>
      <c r="P153" s="1">
        <f t="shared" si="67"/>
        <v>67.421468023769421</v>
      </c>
      <c r="Q153" s="16">
        <f>8.686*O153/2/'Enter data'!C$46</f>
        <v>1.7348472799437253</v>
      </c>
      <c r="R153" s="16">
        <f>8.686*P153/2/'Enter data'!C$46</f>
        <v>5.8394227182962766</v>
      </c>
      <c r="S153" s="16">
        <f t="shared" si="68"/>
        <v>0.52878788098748031</v>
      </c>
      <c r="T153" s="16">
        <f t="shared" si="69"/>
        <v>1.7798776878493892</v>
      </c>
      <c r="U153">
        <f t="shared" si="61"/>
        <v>87.451864186795532</v>
      </c>
      <c r="V153">
        <f>U153/(2*'Enter data'!$C$46)</f>
        <v>0.87200897976513947</v>
      </c>
      <c r="W153">
        <f t="shared" si="62"/>
        <v>7.5741653571624292</v>
      </c>
      <c r="Y153" s="1"/>
      <c r="Z153" s="1">
        <f>4*PI()^2*D153*'Enter data'!$C$85*'Enter data'!$E$15*'Enter data'!$E$16/LN('Enter data'!$C$45)</f>
        <v>9.6443635569223914E-3</v>
      </c>
      <c r="AA153" s="16">
        <f>27.28753*'Enter data'!$E$15^0.5*'Enter data'!$E$16*D153/'Enter data'!$C$86</f>
        <v>2.0988214690180458</v>
      </c>
      <c r="AB153" s="16">
        <f t="shared" si="85"/>
        <v>0.63972856285602464</v>
      </c>
      <c r="AD153">
        <f>2*PI()/'Enter data'!$E$11/LN($C$3/$C$2)</f>
        <v>5.1880404392247992E-18</v>
      </c>
      <c r="AE153" s="14">
        <f>8.686*AD153*'Enter data'!$C$46/2</f>
        <v>1.1298253133715425E-15</v>
      </c>
      <c r="AF153" s="16">
        <f t="shared" si="70"/>
        <v>3.4437494311495441E-16</v>
      </c>
      <c r="AH153" s="1">
        <f t="shared" si="64"/>
        <v>9.6730914672580486</v>
      </c>
      <c r="AI153" s="16">
        <f t="shared" si="71"/>
        <v>2.9483941316928943</v>
      </c>
      <c r="AK153" s="1">
        <f t="shared" si="72"/>
        <v>1.1810163691417703</v>
      </c>
      <c r="AL153" s="1">
        <f t="shared" si="63"/>
        <v>3.9752512491300913</v>
      </c>
      <c r="AM153" s="1">
        <f t="shared" si="73"/>
        <v>5.1562676182718619</v>
      </c>
      <c r="AN153" s="1">
        <f t="shared" si="74"/>
        <v>7.2550890872899085</v>
      </c>
      <c r="AP153" s="1">
        <f t="shared" si="75"/>
        <v>1.7348472799437253</v>
      </c>
      <c r="AQ153" s="1">
        <f t="shared" si="76"/>
        <v>5.8394227182962766</v>
      </c>
      <c r="AR153" s="1">
        <f t="shared" si="77"/>
        <v>7.5742699982400019</v>
      </c>
      <c r="AS153" s="1">
        <f t="shared" si="78"/>
        <v>9.6730914672580486</v>
      </c>
      <c r="AU153" s="1">
        <f t="shared" si="79"/>
        <v>1.5595843334874104</v>
      </c>
      <c r="AV153" s="1">
        <f t="shared" si="80"/>
        <v>7.2552491505743912</v>
      </c>
      <c r="AW153" s="1">
        <f t="shared" si="81"/>
        <v>8.8148334840618023</v>
      </c>
      <c r="AX153" s="1">
        <f t="shared" si="82"/>
        <v>10.913654953079849</v>
      </c>
    </row>
    <row r="154" spans="2:50" x14ac:dyDescent="0.25">
      <c r="D154" s="1">
        <f>D153*'Enter data'!$C$77</f>
        <v>63351437818.926094</v>
      </c>
      <c r="E154">
        <f t="shared" si="65"/>
        <v>63.351437818926094</v>
      </c>
      <c r="G154" s="1">
        <f t="shared" si="83"/>
        <v>2.5863652950939598E-7</v>
      </c>
      <c r="H154" s="1">
        <f t="shared" si="84"/>
        <v>2.5863652950939598E-7</v>
      </c>
      <c r="I154" s="1">
        <f t="shared" si="59"/>
        <v>7.6419908399317785E-10</v>
      </c>
      <c r="J154" s="1">
        <f t="shared" si="60"/>
        <v>2.2708827369596944E-10</v>
      </c>
      <c r="K154" s="1">
        <f>'Enter data'!$C$86/D154</f>
        <v>4.7322123746722242E-3</v>
      </c>
      <c r="L154" s="1"/>
      <c r="M154" s="24">
        <f>1+(2/PI())*ATAN(1.4*('Enter data'!C$32/G154)^2)</f>
        <v>1</v>
      </c>
      <c r="N154" s="24">
        <f>1+(2/PI())*ATAN(1.4*('Enter data'!D$32/H154)^2)</f>
        <v>1</v>
      </c>
      <c r="O154" s="1">
        <f t="shared" si="66"/>
        <v>21.892201064388285</v>
      </c>
      <c r="P154" s="1">
        <f t="shared" si="67"/>
        <v>73.671791712144838</v>
      </c>
      <c r="Q154" s="16">
        <f>8.686*O154/2/'Enter data'!C$46</f>
        <v>1.8960995658508899</v>
      </c>
      <c r="R154" s="16">
        <f>8.686*P154/2/'Enter data'!C$46</f>
        <v>6.3807678300600443</v>
      </c>
      <c r="S154" s="16">
        <f t="shared" si="68"/>
        <v>0.57793817539956405</v>
      </c>
      <c r="T154" s="16">
        <f t="shared" si="69"/>
        <v>1.9448816843635832</v>
      </c>
      <c r="U154">
        <f t="shared" si="61"/>
        <v>95.563992776533127</v>
      </c>
      <c r="V154">
        <f>U154/(2*'Enter data'!$C$46)</f>
        <v>0.95289746671781428</v>
      </c>
      <c r="W154">
        <f t="shared" si="62"/>
        <v>8.2767530482149283</v>
      </c>
      <c r="Y154" s="1"/>
      <c r="Z154" s="1">
        <f>4*PI()^2*D154*'Enter data'!$C$85*'Enter data'!$E$15*'Enter data'!$E$16/LN('Enter data'!$C$45)</f>
        <v>1.1519376598078326E-2</v>
      </c>
      <c r="AA154" s="16">
        <f>27.28753*'Enter data'!$E$15^0.5*'Enter data'!$E$16*D154/'Enter data'!$C$86</f>
        <v>2.5068647372171435</v>
      </c>
      <c r="AB154" s="16">
        <f t="shared" si="85"/>
        <v>0.76410166338001206</v>
      </c>
      <c r="AD154">
        <f>2*PI()/'Enter data'!$E$11/LN($C$3/$C$2)</f>
        <v>5.1880404392247992E-18</v>
      </c>
      <c r="AE154" s="14">
        <f>8.686*AD154*'Enter data'!$C$46/2</f>
        <v>1.1298253133715425E-15</v>
      </c>
      <c r="AF154" s="16">
        <f t="shared" si="70"/>
        <v>3.4437494311495441E-16</v>
      </c>
      <c r="AH154" s="1">
        <f t="shared" si="64"/>
        <v>10.783732133128078</v>
      </c>
      <c r="AI154" s="16">
        <f t="shared" si="71"/>
        <v>3.2869215231431594</v>
      </c>
      <c r="AK154" s="1">
        <f t="shared" si="72"/>
        <v>1.2907906365482176</v>
      </c>
      <c r="AL154" s="1">
        <f t="shared" si="63"/>
        <v>4.3437778887595053</v>
      </c>
      <c r="AM154" s="1">
        <f t="shared" si="73"/>
        <v>5.6345685253077225</v>
      </c>
      <c r="AN154" s="1">
        <f t="shared" si="74"/>
        <v>8.1414332625248669</v>
      </c>
      <c r="AP154" s="1">
        <f t="shared" si="75"/>
        <v>1.8960995658508899</v>
      </c>
      <c r="AQ154" s="1">
        <f t="shared" si="76"/>
        <v>6.3807678300600443</v>
      </c>
      <c r="AR154" s="1">
        <f t="shared" si="77"/>
        <v>8.2768673959109336</v>
      </c>
      <c r="AS154" s="1">
        <f t="shared" si="78"/>
        <v>10.78373213312808</v>
      </c>
      <c r="AU154" s="1">
        <f t="shared" si="79"/>
        <v>1.7045461072108037</v>
      </c>
      <c r="AV154" s="1">
        <f t="shared" si="80"/>
        <v>7.9278487981364023</v>
      </c>
      <c r="AW154" s="1">
        <f t="shared" si="81"/>
        <v>9.6323949053472067</v>
      </c>
      <c r="AX154" s="1">
        <f t="shared" si="82"/>
        <v>12.139259642564351</v>
      </c>
    </row>
    <row r="155" spans="2:50" x14ac:dyDescent="0.25">
      <c r="D155" s="1">
        <f>D154*'Enter data'!$C$77</f>
        <v>75667934535.934036</v>
      </c>
      <c r="E155">
        <f t="shared" si="65"/>
        <v>75.667934535934037</v>
      </c>
      <c r="G155" s="1">
        <f t="shared" si="83"/>
        <v>2.3665308070365284E-7</v>
      </c>
      <c r="H155" s="1">
        <f t="shared" si="84"/>
        <v>2.3665308070365284E-7</v>
      </c>
      <c r="I155" s="1">
        <f t="shared" si="59"/>
        <v>6.9921141278702903E-10</v>
      </c>
      <c r="J155" s="1">
        <f t="shared" si="60"/>
        <v>2.0781903455431649E-10</v>
      </c>
      <c r="K155" s="1">
        <f>'Enter data'!$C$86/D155</f>
        <v>3.9619484771007086E-3</v>
      </c>
      <c r="L155" s="1"/>
      <c r="M155" s="24">
        <f>1+(2/PI())*ATAN(1.4*('Enter data'!C$32/G155)^2)</f>
        <v>1</v>
      </c>
      <c r="N155" s="24">
        <f>1+(2/PI())*ATAN(1.4*('Enter data'!D$32/H155)^2)</f>
        <v>1</v>
      </c>
      <c r="O155" s="1">
        <f t="shared" si="66"/>
        <v>23.926954986782729</v>
      </c>
      <c r="P155" s="1">
        <f t="shared" si="67"/>
        <v>80.502731792007125</v>
      </c>
      <c r="Q155" s="16">
        <f>8.686*O155/2/'Enter data'!C$46</f>
        <v>2.0723310931202703</v>
      </c>
      <c r="R155" s="16">
        <f>8.686*P155/2/'Enter data'!C$46</f>
        <v>6.9724005526760164</v>
      </c>
      <c r="S155" s="16">
        <f t="shared" si="68"/>
        <v>0.63165419809810719</v>
      </c>
      <c r="T155" s="16">
        <f t="shared" si="69"/>
        <v>2.1252135310521871</v>
      </c>
      <c r="U155">
        <f t="shared" si="61"/>
        <v>104.42968677878986</v>
      </c>
      <c r="V155">
        <f>U155/(2*'Enter data'!$C$46)</f>
        <v>1.0412999822468672</v>
      </c>
      <c r="W155">
        <f t="shared" si="62"/>
        <v>9.0446066897984174</v>
      </c>
      <c r="Y155" s="1"/>
      <c r="Z155" s="1">
        <f>4*PI()^2*D155*'Enter data'!$C$85*'Enter data'!$E$15*'Enter data'!$E$16/LN('Enter data'!$C$45)</f>
        <v>1.3758921096779888E-2</v>
      </c>
      <c r="AA155" s="16">
        <f>27.28753*'Enter data'!$E$15^0.5*'Enter data'!$E$16*D155/'Enter data'!$C$86</f>
        <v>2.9942379108800443</v>
      </c>
      <c r="AB155" s="16">
        <f t="shared" si="85"/>
        <v>0.91265481311876495</v>
      </c>
      <c r="AD155">
        <f>2*PI()/'Enter data'!$E$11/LN($C$3/$C$2)</f>
        <v>5.1880404392247992E-18</v>
      </c>
      <c r="AE155" s="14">
        <f>8.686*AD155*'Enter data'!$C$46/2</f>
        <v>1.1298253133715425E-15</v>
      </c>
      <c r="AF155" s="16">
        <f t="shared" si="70"/>
        <v>3.4437494311495441E-16</v>
      </c>
      <c r="AH155" s="1">
        <f t="shared" si="64"/>
        <v>12.038969556676333</v>
      </c>
      <c r="AI155" s="16">
        <f t="shared" si="71"/>
        <v>3.6695225422690601</v>
      </c>
      <c r="AK155" s="1">
        <f t="shared" si="72"/>
        <v>1.4107621872836482</v>
      </c>
      <c r="AL155" s="1">
        <f t="shared" si="63"/>
        <v>4.746538372640277</v>
      </c>
      <c r="AM155" s="1">
        <f t="shared" si="73"/>
        <v>6.1573005599239252</v>
      </c>
      <c r="AN155" s="1">
        <f t="shared" si="74"/>
        <v>9.1515384708039704</v>
      </c>
      <c r="AP155" s="1">
        <f t="shared" si="75"/>
        <v>2.0723310931202703</v>
      </c>
      <c r="AQ155" s="1">
        <f t="shared" si="76"/>
        <v>6.9724005526760164</v>
      </c>
      <c r="AR155" s="1">
        <f t="shared" si="77"/>
        <v>9.0447316457962863</v>
      </c>
      <c r="AS155" s="1">
        <f t="shared" si="78"/>
        <v>12.038969556676332</v>
      </c>
      <c r="AU155" s="1">
        <f t="shared" si="79"/>
        <v>1.862973844437795</v>
      </c>
      <c r="AV155" s="1">
        <f t="shared" si="80"/>
        <v>8.6629287906778423</v>
      </c>
      <c r="AW155" s="1">
        <f t="shared" si="81"/>
        <v>10.525902635115637</v>
      </c>
      <c r="AX155" s="1">
        <f t="shared" si="82"/>
        <v>13.520140545995684</v>
      </c>
    </row>
    <row r="156" spans="2:50" x14ac:dyDescent="0.25">
      <c r="D156" s="1">
        <f>D155*'Enter data'!$C$77</f>
        <v>90378948198.455536</v>
      </c>
      <c r="E156">
        <f t="shared" si="65"/>
        <v>90.378948198455532</v>
      </c>
      <c r="G156" s="1">
        <f t="shared" si="83"/>
        <v>2.1653816927084554E-7</v>
      </c>
      <c r="H156" s="1">
        <f t="shared" si="84"/>
        <v>2.1653816927084554E-7</v>
      </c>
      <c r="I156" s="1">
        <f t="shared" si="59"/>
        <v>6.3975284938060816E-10</v>
      </c>
      <c r="J156" s="1">
        <f t="shared" si="60"/>
        <v>1.9018231121913907E-10</v>
      </c>
      <c r="K156" s="1">
        <f>'Enter data'!$C$86/D156</f>
        <v>3.3170607091123801E-3</v>
      </c>
      <c r="L156" s="1"/>
      <c r="M156" s="24">
        <f>1+(2/PI())*ATAN(1.4*('Enter data'!C$32/G156)^2)</f>
        <v>1</v>
      </c>
      <c r="N156" s="24">
        <f>1+(2/PI())*ATAN(1.4*('Enter data'!D$32/H156)^2)</f>
        <v>1</v>
      </c>
      <c r="O156" s="1">
        <f t="shared" si="66"/>
        <v>26.150723699312238</v>
      </c>
      <c r="P156" s="1">
        <f t="shared" si="67"/>
        <v>87.968223189393925</v>
      </c>
      <c r="Q156" s="16">
        <f>8.686*O156/2/'Enter data'!C$46</f>
        <v>2.2649333297788261</v>
      </c>
      <c r="R156" s="16">
        <f>8.686*P156/2/'Enter data'!C$46</f>
        <v>7.6189922295848724</v>
      </c>
      <c r="S156" s="16">
        <f t="shared" si="68"/>
        <v>0.69036007369508234</v>
      </c>
      <c r="T156" s="16">
        <f t="shared" si="69"/>
        <v>2.3222970707098489</v>
      </c>
      <c r="U156">
        <f t="shared" si="61"/>
        <v>114.11894688870616</v>
      </c>
      <c r="V156">
        <f>U156/(2*'Enter data'!$C$46)</f>
        <v>1.1379145244489637</v>
      </c>
      <c r="W156">
        <f t="shared" si="62"/>
        <v>9.883789009620763</v>
      </c>
      <c r="Y156" s="1"/>
      <c r="Z156" s="1">
        <f>4*PI()^2*D156*'Enter data'!$C$85*'Enter data'!$E$15*'Enter data'!$E$16/LN('Enter data'!$C$45)</f>
        <v>1.6433867591323918E-2</v>
      </c>
      <c r="AA156" s="16">
        <f>27.28753*'Enter data'!$E$15^0.5*'Enter data'!$E$16*D156/'Enter data'!$C$86</f>
        <v>3.5763639473040731</v>
      </c>
      <c r="AB156" s="16">
        <f t="shared" si="85"/>
        <v>1.0900889866203587</v>
      </c>
      <c r="AD156">
        <f>2*PI()/'Enter data'!$E$11/LN($C$3/$C$2)</f>
        <v>5.1880404392247992E-18</v>
      </c>
      <c r="AE156" s="14">
        <f>8.686*AD156*'Enter data'!$C$46/2</f>
        <v>1.1298253133715425E-15</v>
      </c>
      <c r="AF156" s="16">
        <f t="shared" si="70"/>
        <v>3.4437494311495441E-16</v>
      </c>
      <c r="AH156" s="1">
        <f t="shared" si="64"/>
        <v>13.460289506667772</v>
      </c>
      <c r="AI156" s="16">
        <f t="shared" si="71"/>
        <v>4.10274613102529</v>
      </c>
      <c r="AK156" s="1">
        <f t="shared" si="72"/>
        <v>1.5418782785135634</v>
      </c>
      <c r="AL156" s="1">
        <f t="shared" si="63"/>
        <v>5.1867127692044273</v>
      </c>
      <c r="AM156" s="1">
        <f t="shared" si="73"/>
        <v>6.7285910477179911</v>
      </c>
      <c r="AN156" s="1">
        <f t="shared" si="74"/>
        <v>10.304954995022065</v>
      </c>
      <c r="AP156" s="1">
        <f t="shared" si="75"/>
        <v>2.2649333297788261</v>
      </c>
      <c r="AQ156" s="1">
        <f t="shared" si="76"/>
        <v>7.6189922295848724</v>
      </c>
      <c r="AR156" s="1">
        <f t="shared" si="77"/>
        <v>9.8839255593636981</v>
      </c>
      <c r="AS156" s="1">
        <f t="shared" si="78"/>
        <v>13.460289506667774</v>
      </c>
      <c r="AU156" s="1">
        <f t="shared" si="79"/>
        <v>2.03611844013792</v>
      </c>
      <c r="AV156" s="1">
        <f t="shared" si="80"/>
        <v>9.4662930855700207</v>
      </c>
      <c r="AW156" s="1">
        <f t="shared" si="81"/>
        <v>11.502411525707942</v>
      </c>
      <c r="AX156" s="1">
        <f t="shared" si="82"/>
        <v>15.078775473012016</v>
      </c>
    </row>
    <row r="157" spans="2:50" x14ac:dyDescent="0.25">
      <c r="D157" s="1">
        <f>D156*'Enter data'!$C$77</f>
        <v>107950009836.46553</v>
      </c>
      <c r="E157">
        <f t="shared" si="65"/>
        <v>107.95000983646553</v>
      </c>
      <c r="G157" s="1">
        <f>(C$5/(PI()*D157*H$5))^0.5</f>
        <v>1.9813297427505497E-7</v>
      </c>
      <c r="H157" s="1">
        <f>(C$6/(PI()*D157*H$6))^0.5</f>
        <v>1.9813297427505497E-7</v>
      </c>
      <c r="I157" s="1">
        <f>2*PI()*G157*(C$3+G157-(C$4+G157)*EXP((C$3-C$4)/G157))</f>
        <v>5.8535256759810306E-10</v>
      </c>
      <c r="J157" s="1">
        <f>2*PI()*H157*(C$2+H157*(EXP(-C$2/H157)-1))</f>
        <v>1.7404021002991489E-10</v>
      </c>
      <c r="K157" s="1">
        <f>'Enter data'!$C$86/D157</f>
        <v>2.7771415533371269E-3</v>
      </c>
      <c r="L157" s="1"/>
      <c r="M157" s="24">
        <f>1+(2/PI())*ATAN(1.4*('Enter data'!C$32/G157)^2)</f>
        <v>1</v>
      </c>
      <c r="N157" s="24">
        <f>1+(2/PI())*ATAN(1.4*('Enter data'!D$32/H157)^2)</f>
        <v>1</v>
      </c>
      <c r="O157" s="1">
        <f t="shared" si="66"/>
        <v>28.581065371676381</v>
      </c>
      <c r="P157" s="1">
        <f t="shared" si="67"/>
        <v>96.12721104579434</v>
      </c>
      <c r="Q157" s="16">
        <f>8.686*O157/2/'Enter data'!C$46</f>
        <v>2.4754270017620885</v>
      </c>
      <c r="R157" s="16">
        <f>8.686*P157/2/'Enter data'!C$46</f>
        <v>8.3256481426565259</v>
      </c>
      <c r="S157" s="16">
        <f t="shared" si="68"/>
        <v>0.75451932509207764</v>
      </c>
      <c r="T157" s="16">
        <f t="shared" si="69"/>
        <v>2.5376884121728009</v>
      </c>
      <c r="U157">
        <f>O157+P157</f>
        <v>124.70827641747073</v>
      </c>
      <c r="V157">
        <f>U157/(2*'Enter data'!$C$46)</f>
        <v>1.243503930971519</v>
      </c>
      <c r="W157">
        <f t="shared" si="62"/>
        <v>10.800925923946897</v>
      </c>
      <c r="Y157" s="1"/>
      <c r="Z157" s="1">
        <f>4*PI()^2*D157*'Enter data'!$C$85*'Enter data'!$E$15*'Enter data'!$E$16/LN('Enter data'!$C$45)</f>
        <v>1.9628864945840402E-2</v>
      </c>
      <c r="AA157" s="16">
        <f>27.28753*'Enter data'!$E$15^0.5*'Enter data'!$E$16*D157/'Enter data'!$C$86</f>
        <v>4.2716642645864829</v>
      </c>
      <c r="AB157" s="16">
        <f t="shared" si="85"/>
        <v>1.3020191003982207</v>
      </c>
      <c r="AC157" s="19"/>
      <c r="AD157">
        <f>2*PI()/'Enter data'!$E$11/LN($C$3/$C$2)</f>
        <v>5.1880404392247992E-18</v>
      </c>
      <c r="AE157" s="14">
        <f>8.686*AD157*'Enter data'!$C$46/2</f>
        <v>1.1298253133715425E-15</v>
      </c>
      <c r="AF157" s="16">
        <f t="shared" si="70"/>
        <v>3.4437494311495441E-16</v>
      </c>
      <c r="AH157" s="1">
        <f t="shared" si="64"/>
        <v>15.0727394090051</v>
      </c>
      <c r="AI157" s="16">
        <f t="shared" si="71"/>
        <v>4.5942268376631006</v>
      </c>
      <c r="AK157" s="1">
        <f t="shared" si="72"/>
        <v>1.6851741611465609</v>
      </c>
      <c r="AL157" s="1">
        <f t="shared" si="63"/>
        <v>5.6677765552429991</v>
      </c>
      <c r="AM157" s="1">
        <f t="shared" si="73"/>
        <v>7.35295071638956</v>
      </c>
      <c r="AN157" s="1">
        <f t="shared" si="74"/>
        <v>11.624614980976045</v>
      </c>
      <c r="AP157" s="1">
        <f t="shared" si="75"/>
        <v>2.4754270017620885</v>
      </c>
      <c r="AQ157" s="1">
        <f t="shared" si="76"/>
        <v>8.3256481426565259</v>
      </c>
      <c r="AR157" s="1">
        <f t="shared" si="77"/>
        <v>10.801075144418615</v>
      </c>
      <c r="AS157" s="1">
        <f t="shared" si="78"/>
        <v>15.072739409005099</v>
      </c>
      <c r="AU157" s="1">
        <f t="shared" si="79"/>
        <v>2.2253469889090733</v>
      </c>
      <c r="AV157" s="1">
        <f t="shared" si="80"/>
        <v>10.344284791325027</v>
      </c>
      <c r="AW157" s="1">
        <f t="shared" si="81"/>
        <v>12.569631780234101</v>
      </c>
      <c r="AX157" s="1">
        <f t="shared" si="82"/>
        <v>16.841296044820584</v>
      </c>
    </row>
    <row r="158" spans="2:50" x14ac:dyDescent="0.25">
      <c r="G158" s="1"/>
      <c r="H158" s="1"/>
      <c r="I158" s="1"/>
      <c r="J158" s="1"/>
      <c r="K158" s="1"/>
      <c r="L158" s="1"/>
      <c r="M158" s="1"/>
      <c r="N158" s="1"/>
      <c r="O158" s="1"/>
      <c r="P158" s="1"/>
      <c r="Q158" s="16"/>
      <c r="R158" s="16"/>
      <c r="S158" s="16"/>
      <c r="T158" s="16"/>
      <c r="Y158" s="1"/>
      <c r="Z158" s="1"/>
      <c r="AA158" s="16"/>
      <c r="AB158" s="16"/>
    </row>
    <row r="159" spans="2:50" x14ac:dyDescent="0.25">
      <c r="G159" s="1"/>
      <c r="H159" s="1"/>
      <c r="I159" s="1"/>
      <c r="J159" s="1"/>
      <c r="K159" s="1"/>
      <c r="L159" s="1"/>
      <c r="M159" s="1"/>
      <c r="N159" s="1"/>
      <c r="O159" s="1"/>
      <c r="P159" s="1"/>
      <c r="Q159" s="16"/>
      <c r="R159" s="16"/>
      <c r="S159" s="16"/>
      <c r="T159" s="16"/>
      <c r="Y159" s="1"/>
      <c r="Z159" s="1"/>
      <c r="AA159" s="16"/>
      <c r="AB159" s="16"/>
      <c r="AJ159" s="17" t="s">
        <v>286</v>
      </c>
      <c r="AK159" s="1">
        <f>'Enter data'!C61</f>
        <v>25</v>
      </c>
    </row>
    <row r="160" spans="2:50" x14ac:dyDescent="0.25">
      <c r="B160" s="17" t="s">
        <v>289</v>
      </c>
      <c r="G160" s="1"/>
      <c r="H160" s="1"/>
      <c r="I160" s="1"/>
      <c r="J160" s="1"/>
      <c r="K160" s="1"/>
      <c r="L160" s="1"/>
      <c r="M160" s="1"/>
      <c r="N160" s="1"/>
      <c r="O160" s="1"/>
      <c r="P160" s="1"/>
      <c r="Q160" s="16"/>
      <c r="R160" s="16"/>
      <c r="S160" s="16"/>
      <c r="T160" s="16"/>
      <c r="Y160" s="1"/>
      <c r="Z160" s="1"/>
      <c r="AA160" s="16"/>
      <c r="AB160" s="16"/>
    </row>
    <row r="161" spans="4:40" x14ac:dyDescent="0.25">
      <c r="D161">
        <f>'Enter data'!C60</f>
        <v>26500000000</v>
      </c>
      <c r="E161">
        <f>D161/1000000000</f>
        <v>26.5</v>
      </c>
      <c r="G161" s="1">
        <f>(C$5/(PI()*D161*H$5))^0.5</f>
        <v>3.9989425516597049E-7</v>
      </c>
      <c r="H161" s="1">
        <f>(C$6/(PI()*D161*H$6))^0.5</f>
        <v>3.9989425516597049E-7</v>
      </c>
      <c r="I161" s="1">
        <f>2*PI()*G161*(C$3+G161-(C$4+G161)*EXP((C$3-C$4)/G161))</f>
        <v>1.1819313411755418E-9</v>
      </c>
      <c r="J161" s="1">
        <f>2*PI()*H161*(C$2+H161*(EXP(-C$2/H161)-1))</f>
        <v>3.5076058099991194E-10</v>
      </c>
      <c r="K161" s="1">
        <f>'Enter data'!$C$86/D161</f>
        <v>1.1312922943396227E-2</v>
      </c>
      <c r="L161" s="1"/>
      <c r="M161" s="24">
        <f>IF('Enter data'!C$32/G161&gt;0.0001, 1+(2.7182818^(-G161/2/'Enter data'!C$32))^1.6,1)</f>
        <v>1</v>
      </c>
      <c r="N161" s="24">
        <f>IF('Enter data'!D$32/H161&gt;0.0001, 1+(2.7182818^(-H161/2/'Enter data'!D$32))^1.6,1)</f>
        <v>1</v>
      </c>
      <c r="O161" s="1">
        <f>C$5/I161*M161</f>
        <v>14.154798521004142</v>
      </c>
      <c r="P161" s="1">
        <f t="shared" ref="P161" si="86">C$6/J161*N161</f>
        <v>47.696351603443723</v>
      </c>
      <c r="Q161" s="16">
        <f>8.686*O161/2/'Enter data'!C$46</f>
        <v>1.225957465466605</v>
      </c>
      <c r="R161" s="16">
        <f>8.686*P161/2/'Enter data'!C$46</f>
        <v>4.1310159404242643</v>
      </c>
      <c r="S161" s="16">
        <f>Q161/3.2808</f>
        <v>0.37367637937899445</v>
      </c>
      <c r="T161" s="16">
        <f>R161/3.2808</f>
        <v>1.2591489698927896</v>
      </c>
      <c r="U161">
        <f>O161+P161</f>
        <v>61.851150124447869</v>
      </c>
      <c r="V161">
        <f>U161/(2*'Enter data'!$C$46)</f>
        <v>0.61673651921377726</v>
      </c>
      <c r="W161">
        <f t="shared" si="62"/>
        <v>5.3568993975085633</v>
      </c>
      <c r="Y161" s="1"/>
      <c r="Z161" s="1">
        <f>4*PI()^2*D161*'Enter data'!$C$85*'Enter data'!$E$15*'Enter data'!$E$16/LN('Enter data'!$C$45)</f>
        <v>4.8185722433260851E-3</v>
      </c>
      <c r="AA161" s="16">
        <f>27.3*'Enter data'!$E$15^0.5*'Enter data'!$E$16*D161/'Enter data'!$C$86</f>
        <v>1.049104428140492</v>
      </c>
      <c r="AB161" s="16">
        <f>AA161/3.2808</f>
        <v>0.3197709181115862</v>
      </c>
      <c r="AD161">
        <f>2*PI()/'Enter data'!$E$11/LN($C$3/$C$2)</f>
        <v>5.1880404392247992E-18</v>
      </c>
      <c r="AE161" s="14">
        <f>8.686*AD161*'Enter data'!$C$46/2</f>
        <v>1.1298253133715425E-15</v>
      </c>
      <c r="AF161" s="16">
        <f>AE161/3.2808</f>
        <v>3.4437494311495441E-16</v>
      </c>
      <c r="AH161" s="1">
        <f>Q161+R161+AA161+AE161</f>
        <v>6.406077834031362</v>
      </c>
      <c r="AI161" s="16">
        <f>AH161/3.2808</f>
        <v>1.9525962673833703</v>
      </c>
      <c r="AK161" s="1">
        <f>$Q161*(1+$AM$2*($AK$159-25))</f>
        <v>1.225957465466605</v>
      </c>
      <c r="AL161" s="1">
        <f>$R161*(1+$AM$2*($AK$159-25))</f>
        <v>4.1310159404242643</v>
      </c>
      <c r="AM161" s="1">
        <f>AK161+AL161</f>
        <v>5.3569734058908693</v>
      </c>
      <c r="AN161" s="1">
        <f t="shared" ref="AN161" si="87">AM161+$AE161+$AA161</f>
        <v>6.406077834031362</v>
      </c>
    </row>
  </sheetData>
  <phoneticPr fontId="2"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10</vt:i4>
      </vt:variant>
    </vt:vector>
  </HeadingPairs>
  <TitlesOfParts>
    <vt:vector size="13" baseType="lpstr">
      <vt:lpstr>Readme</vt:lpstr>
      <vt:lpstr>Enter data</vt:lpstr>
      <vt:lpstr>Calcs</vt:lpstr>
      <vt:lpstr>Loss versus temperature</vt:lpstr>
      <vt:lpstr>Surface roughness factor</vt:lpstr>
      <vt:lpstr>Area</vt:lpstr>
      <vt:lpstr>Area (2)</vt:lpstr>
      <vt:lpstr>Res_per_Meter</vt:lpstr>
      <vt:lpstr>R_per_Meter (2)</vt:lpstr>
      <vt:lpstr>dB_per_meter</vt:lpstr>
      <vt:lpstr>dB_per_meter (2)</vt:lpstr>
      <vt:lpstr>dB_per_foot</vt:lpstr>
      <vt:lpstr>dB_per_foot (2)</vt:lpstr>
    </vt:vector>
  </TitlesOfParts>
  <Company>Microwaves101.com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Coax.xls</dc:title>
  <dc:creator>Unknown Editor</dc:creator>
  <cp:lastModifiedBy>Huettner, Steve (US)</cp:lastModifiedBy>
  <cp:lastPrinted>2006-09-16T02:57:20Z</cp:lastPrinted>
  <dcterms:created xsi:type="dcterms:W3CDTF">2006-04-18T18:34:04Z</dcterms:created>
  <dcterms:modified xsi:type="dcterms:W3CDTF">2020-05-31T18:50:21Z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8f443b-b434-4a74-8e06-267f84c31196_Enabled">
    <vt:lpwstr>True</vt:lpwstr>
  </property>
  <property fmtid="{D5CDD505-2E9C-101B-9397-08002B2CF9AE}" pid="3" name="MSIP_Label_878f443b-b434-4a74-8e06-267f84c31196_SiteId">
    <vt:lpwstr>10d6de58-a709-4821-a02c-4c46747e0059</vt:lpwstr>
  </property>
  <property fmtid="{D5CDD505-2E9C-101B-9397-08002B2CF9AE}" pid="4" name="MSIP_Label_878f443b-b434-4a74-8e06-267f84c31196_Owner">
    <vt:lpwstr>209040@cubic.com</vt:lpwstr>
  </property>
  <property fmtid="{D5CDD505-2E9C-101B-9397-08002B2CF9AE}" pid="5" name="MSIP_Label_878f443b-b434-4a74-8e06-267f84c31196_SetDate">
    <vt:lpwstr>2020-05-26T19:09:43.5614793Z</vt:lpwstr>
  </property>
  <property fmtid="{D5CDD505-2E9C-101B-9397-08002B2CF9AE}" pid="6" name="MSIP_Label_878f443b-b434-4a74-8e06-267f84c31196_Name">
    <vt:lpwstr>Public</vt:lpwstr>
  </property>
  <property fmtid="{D5CDD505-2E9C-101B-9397-08002B2CF9AE}" pid="7" name="MSIP_Label_878f443b-b434-4a74-8e06-267f84c31196_Application">
    <vt:lpwstr>Microsoft Azure Information Protection</vt:lpwstr>
  </property>
  <property fmtid="{D5CDD505-2E9C-101B-9397-08002B2CF9AE}" pid="8" name="MSIP_Label_878f443b-b434-4a74-8e06-267f84c31196_ActionId">
    <vt:lpwstr>05e8aaee-452b-413c-99a5-40666b40f2d4</vt:lpwstr>
  </property>
  <property fmtid="{D5CDD505-2E9C-101B-9397-08002B2CF9AE}" pid="9" name="MSIP_Label_878f443b-b434-4a74-8e06-267f84c31196_Extended_MSFT_Method">
    <vt:lpwstr>Manual</vt:lpwstr>
  </property>
  <property fmtid="{D5CDD505-2E9C-101B-9397-08002B2CF9AE}" pid="10" name="Sensitivity">
    <vt:lpwstr>Public</vt:lpwstr>
  </property>
</Properties>
</file>