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09040\Downloads\"/>
    </mc:Choice>
  </mc:AlternateContent>
  <xr:revisionPtr revIDLastSave="0" documentId="8_{E39FA752-D951-4D14-B0AA-459F32661118}" xr6:coauthVersionLast="40" xr6:coauthVersionMax="40" xr10:uidLastSave="{00000000-0000-0000-0000-000000000000}"/>
  <bookViews>
    <workbookView xWindow="-108" yWindow="-108" windowWidth="23256" windowHeight="12576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Sheet1!$A$17:$H$54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4" i="1" l="1"/>
  <c r="I54" i="1"/>
  <c r="F53" i="1"/>
  <c r="B45" i="1"/>
  <c r="F52" i="1"/>
  <c r="F51" i="1"/>
  <c r="F50" i="1"/>
  <c r="F49" i="1"/>
  <c r="F48" i="1"/>
  <c r="F47" i="1"/>
  <c r="F46" i="1"/>
  <c r="F45" i="1"/>
  <c r="C45" i="1"/>
  <c r="F44" i="1"/>
  <c r="I44" i="1"/>
  <c r="D41" i="1"/>
  <c r="F41" i="1"/>
  <c r="D40" i="1"/>
  <c r="E40" i="1"/>
  <c r="D39" i="1"/>
  <c r="E39" i="1"/>
  <c r="D38" i="1"/>
  <c r="F38" i="1"/>
  <c r="D37" i="1"/>
  <c r="F37" i="1"/>
  <c r="D36" i="1"/>
  <c r="E36" i="1"/>
  <c r="D35" i="1"/>
  <c r="F35" i="1"/>
  <c r="D34" i="1"/>
  <c r="F34" i="1"/>
  <c r="D33" i="1"/>
  <c r="E33" i="1"/>
  <c r="F33" i="1"/>
  <c r="C33" i="1"/>
  <c r="D32" i="1"/>
  <c r="E32" i="1"/>
  <c r="D31" i="1"/>
  <c r="F31" i="1"/>
  <c r="D30" i="1"/>
  <c r="F30" i="1"/>
  <c r="D29" i="1"/>
  <c r="E29" i="1"/>
  <c r="F29" i="1"/>
  <c r="I29" i="1"/>
  <c r="J29" i="1"/>
  <c r="D28" i="1"/>
  <c r="F28" i="1"/>
  <c r="I28" i="1"/>
  <c r="D27" i="1"/>
  <c r="E27" i="1"/>
  <c r="D26" i="1"/>
  <c r="F26" i="1"/>
  <c r="D25" i="1"/>
  <c r="E25" i="1"/>
  <c r="D24" i="1"/>
  <c r="F24" i="1"/>
  <c r="D23" i="1"/>
  <c r="E23" i="1"/>
  <c r="D22" i="1"/>
  <c r="F22" i="1"/>
  <c r="D21" i="1"/>
  <c r="F21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4" i="1"/>
  <c r="G54" i="1"/>
  <c r="H54" i="1"/>
  <c r="W53" i="1"/>
  <c r="V53" i="1"/>
  <c r="U53" i="1"/>
  <c r="T53" i="1"/>
  <c r="S53" i="1"/>
  <c r="R53" i="1"/>
  <c r="Q53" i="1"/>
  <c r="P53" i="1"/>
  <c r="O53" i="1"/>
  <c r="W40" i="1"/>
  <c r="V40" i="1"/>
  <c r="U40" i="1"/>
  <c r="T40" i="1"/>
  <c r="S40" i="1"/>
  <c r="R40" i="1"/>
  <c r="Q40" i="1"/>
  <c r="P40" i="1"/>
  <c r="O40" i="1"/>
  <c r="W35" i="1"/>
  <c r="V35" i="1"/>
  <c r="U35" i="1"/>
  <c r="T35" i="1"/>
  <c r="S35" i="1"/>
  <c r="R35" i="1"/>
  <c r="Q35" i="1"/>
  <c r="P35" i="1"/>
  <c r="O35" i="1"/>
  <c r="W34" i="1"/>
  <c r="V34" i="1"/>
  <c r="U34" i="1"/>
  <c r="T34" i="1"/>
  <c r="S34" i="1"/>
  <c r="R34" i="1"/>
  <c r="Q34" i="1"/>
  <c r="P34" i="1"/>
  <c r="O34" i="1"/>
  <c r="W33" i="1"/>
  <c r="V33" i="1"/>
  <c r="U33" i="1"/>
  <c r="T33" i="1"/>
  <c r="S33" i="1"/>
  <c r="R33" i="1"/>
  <c r="Q33" i="1"/>
  <c r="P33" i="1"/>
  <c r="O33" i="1"/>
  <c r="W32" i="1"/>
  <c r="V32" i="1"/>
  <c r="U32" i="1"/>
  <c r="T32" i="1"/>
  <c r="S32" i="1"/>
  <c r="R32" i="1"/>
  <c r="Q32" i="1"/>
  <c r="P32" i="1"/>
  <c r="O32" i="1"/>
  <c r="W31" i="1"/>
  <c r="V31" i="1"/>
  <c r="U31" i="1"/>
  <c r="T31" i="1"/>
  <c r="S31" i="1"/>
  <c r="R31" i="1"/>
  <c r="Q31" i="1"/>
  <c r="P31" i="1"/>
  <c r="O31" i="1"/>
  <c r="W54" i="1"/>
  <c r="V54" i="1"/>
  <c r="U54" i="1"/>
  <c r="T54" i="1"/>
  <c r="S54" i="1"/>
  <c r="R54" i="1"/>
  <c r="Q54" i="1"/>
  <c r="P54" i="1"/>
  <c r="O54" i="1"/>
  <c r="W52" i="1"/>
  <c r="V52" i="1"/>
  <c r="U52" i="1"/>
  <c r="T52" i="1"/>
  <c r="S52" i="1"/>
  <c r="R52" i="1"/>
  <c r="Q52" i="1"/>
  <c r="P52" i="1"/>
  <c r="O52" i="1"/>
  <c r="W51" i="1"/>
  <c r="V51" i="1"/>
  <c r="U51" i="1"/>
  <c r="T51" i="1"/>
  <c r="S51" i="1"/>
  <c r="R51" i="1"/>
  <c r="Q51" i="1"/>
  <c r="P51" i="1"/>
  <c r="O51" i="1"/>
  <c r="W50" i="1"/>
  <c r="V50" i="1"/>
  <c r="U50" i="1"/>
  <c r="T50" i="1"/>
  <c r="S50" i="1"/>
  <c r="R50" i="1"/>
  <c r="Q50" i="1"/>
  <c r="P50" i="1"/>
  <c r="O50" i="1"/>
  <c r="W49" i="1"/>
  <c r="V49" i="1"/>
  <c r="U49" i="1"/>
  <c r="T49" i="1"/>
  <c r="S49" i="1"/>
  <c r="R49" i="1"/>
  <c r="Q49" i="1"/>
  <c r="P49" i="1"/>
  <c r="O49" i="1"/>
  <c r="W48" i="1"/>
  <c r="V48" i="1"/>
  <c r="U48" i="1"/>
  <c r="T48" i="1"/>
  <c r="S48" i="1"/>
  <c r="R48" i="1"/>
  <c r="Q48" i="1"/>
  <c r="P48" i="1"/>
  <c r="O48" i="1"/>
  <c r="W47" i="1"/>
  <c r="V47" i="1"/>
  <c r="U47" i="1"/>
  <c r="T47" i="1"/>
  <c r="S47" i="1"/>
  <c r="R47" i="1"/>
  <c r="Q47" i="1"/>
  <c r="P47" i="1"/>
  <c r="O47" i="1"/>
  <c r="W46" i="1"/>
  <c r="V46" i="1"/>
  <c r="U46" i="1"/>
  <c r="T46" i="1"/>
  <c r="S46" i="1"/>
  <c r="R46" i="1"/>
  <c r="Q46" i="1"/>
  <c r="P46" i="1"/>
  <c r="O46" i="1"/>
  <c r="W45" i="1"/>
  <c r="V45" i="1"/>
  <c r="U45" i="1"/>
  <c r="T45" i="1"/>
  <c r="S45" i="1"/>
  <c r="R45" i="1"/>
  <c r="Q45" i="1"/>
  <c r="P45" i="1"/>
  <c r="O45" i="1"/>
  <c r="W44" i="1"/>
  <c r="V44" i="1"/>
  <c r="U44" i="1"/>
  <c r="T44" i="1"/>
  <c r="S44" i="1"/>
  <c r="R44" i="1"/>
  <c r="Q44" i="1"/>
  <c r="P44" i="1"/>
  <c r="O44" i="1"/>
  <c r="W41" i="1"/>
  <c r="V41" i="1"/>
  <c r="U41" i="1"/>
  <c r="T41" i="1"/>
  <c r="S41" i="1"/>
  <c r="R41" i="1"/>
  <c r="Q41" i="1"/>
  <c r="P41" i="1"/>
  <c r="O41" i="1"/>
  <c r="W39" i="1"/>
  <c r="V39" i="1"/>
  <c r="U39" i="1"/>
  <c r="T39" i="1"/>
  <c r="S39" i="1"/>
  <c r="R39" i="1"/>
  <c r="Q39" i="1"/>
  <c r="P39" i="1"/>
  <c r="O39" i="1"/>
  <c r="W38" i="1"/>
  <c r="V38" i="1"/>
  <c r="U38" i="1"/>
  <c r="T38" i="1"/>
  <c r="S38" i="1"/>
  <c r="R38" i="1"/>
  <c r="Q38" i="1"/>
  <c r="P38" i="1"/>
  <c r="O38" i="1"/>
  <c r="W37" i="1"/>
  <c r="V37" i="1"/>
  <c r="U37" i="1"/>
  <c r="T37" i="1"/>
  <c r="S37" i="1"/>
  <c r="R37" i="1"/>
  <c r="Q37" i="1"/>
  <c r="P37" i="1"/>
  <c r="O37" i="1"/>
  <c r="W36" i="1"/>
  <c r="V36" i="1"/>
  <c r="U36" i="1"/>
  <c r="T36" i="1"/>
  <c r="S36" i="1"/>
  <c r="R36" i="1"/>
  <c r="Q36" i="1"/>
  <c r="P36" i="1"/>
  <c r="O36" i="1"/>
  <c r="W30" i="1"/>
  <c r="V30" i="1"/>
  <c r="U30" i="1"/>
  <c r="T30" i="1"/>
  <c r="S30" i="1"/>
  <c r="R30" i="1"/>
  <c r="Q30" i="1"/>
  <c r="P30" i="1"/>
  <c r="O30" i="1"/>
  <c r="W29" i="1"/>
  <c r="V29" i="1"/>
  <c r="U29" i="1"/>
  <c r="T29" i="1"/>
  <c r="S29" i="1"/>
  <c r="R29" i="1"/>
  <c r="Q29" i="1"/>
  <c r="P29" i="1"/>
  <c r="O29" i="1"/>
  <c r="W28" i="1"/>
  <c r="V28" i="1"/>
  <c r="U28" i="1"/>
  <c r="T28" i="1"/>
  <c r="S28" i="1"/>
  <c r="R28" i="1"/>
  <c r="Q28" i="1"/>
  <c r="P28" i="1"/>
  <c r="O28" i="1"/>
  <c r="W27" i="1"/>
  <c r="V27" i="1"/>
  <c r="U27" i="1"/>
  <c r="T27" i="1"/>
  <c r="S27" i="1"/>
  <c r="R27" i="1"/>
  <c r="Q27" i="1"/>
  <c r="P27" i="1"/>
  <c r="O27" i="1"/>
  <c r="W26" i="1"/>
  <c r="V26" i="1"/>
  <c r="U26" i="1"/>
  <c r="T26" i="1"/>
  <c r="S26" i="1"/>
  <c r="R26" i="1"/>
  <c r="Q26" i="1"/>
  <c r="P26" i="1"/>
  <c r="O26" i="1"/>
  <c r="W25" i="1"/>
  <c r="V25" i="1"/>
  <c r="U25" i="1"/>
  <c r="T25" i="1"/>
  <c r="S25" i="1"/>
  <c r="R25" i="1"/>
  <c r="Q25" i="1"/>
  <c r="P25" i="1"/>
  <c r="O25" i="1"/>
  <c r="W24" i="1"/>
  <c r="V24" i="1"/>
  <c r="U24" i="1"/>
  <c r="T24" i="1"/>
  <c r="S24" i="1"/>
  <c r="R24" i="1"/>
  <c r="Q24" i="1"/>
  <c r="P24" i="1"/>
  <c r="O24" i="1"/>
  <c r="W23" i="1"/>
  <c r="V23" i="1"/>
  <c r="U23" i="1"/>
  <c r="T23" i="1"/>
  <c r="S23" i="1"/>
  <c r="R23" i="1"/>
  <c r="Q23" i="1"/>
  <c r="P23" i="1"/>
  <c r="O23" i="1"/>
  <c r="W22" i="1"/>
  <c r="V22" i="1"/>
  <c r="U22" i="1"/>
  <c r="T22" i="1"/>
  <c r="S22" i="1"/>
  <c r="R22" i="1"/>
  <c r="Q22" i="1"/>
  <c r="P22" i="1"/>
  <c r="O22" i="1"/>
  <c r="E38" i="1"/>
  <c r="E28" i="1"/>
  <c r="E26" i="1"/>
  <c r="W21" i="1"/>
  <c r="V21" i="1"/>
  <c r="U21" i="1"/>
  <c r="T21" i="1"/>
  <c r="S21" i="1"/>
  <c r="R21" i="1"/>
  <c r="Q21" i="1"/>
  <c r="P21" i="1"/>
  <c r="O21" i="1"/>
  <c r="E21" i="1"/>
  <c r="C54" i="1"/>
  <c r="F25" i="1"/>
  <c r="I25" i="1"/>
  <c r="J25" i="1"/>
  <c r="B46" i="1"/>
  <c r="B47" i="1"/>
  <c r="G45" i="1"/>
  <c r="H45" i="1"/>
  <c r="F40" i="1"/>
  <c r="E31" i="1"/>
  <c r="C30" i="1"/>
  <c r="I30" i="1"/>
  <c r="K30" i="1"/>
  <c r="N30" i="1"/>
  <c r="H40" i="1"/>
  <c r="F23" i="1"/>
  <c r="F39" i="1"/>
  <c r="E30" i="1"/>
  <c r="H30" i="1"/>
  <c r="G46" i="1"/>
  <c r="H46" i="1"/>
  <c r="F32" i="1"/>
  <c r="I32" i="1"/>
  <c r="J32" i="1"/>
  <c r="I41" i="1"/>
  <c r="J41" i="1"/>
  <c r="K41" i="1"/>
  <c r="N41" i="1"/>
  <c r="C41" i="1"/>
  <c r="I35" i="1"/>
  <c r="C35" i="1"/>
  <c r="H35" i="1"/>
  <c r="I21" i="1"/>
  <c r="K21" i="1"/>
  <c r="N21" i="1"/>
  <c r="C21" i="1"/>
  <c r="H21" i="1"/>
  <c r="C28" i="1"/>
  <c r="I45" i="1"/>
  <c r="C40" i="1"/>
  <c r="C25" i="1"/>
  <c r="I33" i="1"/>
  <c r="J33" i="1"/>
  <c r="C44" i="1"/>
  <c r="E37" i="1"/>
  <c r="H41" i="1"/>
  <c r="H39" i="1"/>
  <c r="E35" i="1"/>
  <c r="H33" i="1"/>
  <c r="F27" i="1"/>
  <c r="I27" i="1"/>
  <c r="J27" i="1"/>
  <c r="H28" i="1"/>
  <c r="E24" i="1"/>
  <c r="E41" i="1"/>
  <c r="H25" i="1"/>
  <c r="C46" i="1"/>
  <c r="J30" i="1"/>
  <c r="F36" i="1"/>
  <c r="I36" i="1"/>
  <c r="J36" i="1"/>
  <c r="C24" i="1"/>
  <c r="H24" i="1"/>
  <c r="I24" i="1"/>
  <c r="J24" i="1"/>
  <c r="J44" i="1"/>
  <c r="K44" i="1"/>
  <c r="N44" i="1"/>
  <c r="C38" i="1"/>
  <c r="I38" i="1"/>
  <c r="J38" i="1"/>
  <c r="H22" i="1"/>
  <c r="I22" i="1"/>
  <c r="J22" i="1"/>
  <c r="C22" i="1"/>
  <c r="I31" i="1"/>
  <c r="J31" i="1"/>
  <c r="C31" i="1"/>
  <c r="H31" i="1"/>
  <c r="J54" i="1"/>
  <c r="K54" i="1"/>
  <c r="N54" i="1"/>
  <c r="I37" i="1"/>
  <c r="J37" i="1"/>
  <c r="C37" i="1"/>
  <c r="H37" i="1"/>
  <c r="C34" i="1"/>
  <c r="H34" i="1"/>
  <c r="I34" i="1"/>
  <c r="J34" i="1"/>
  <c r="K34" i="1"/>
  <c r="N34" i="1"/>
  <c r="C26" i="1"/>
  <c r="H26" i="1"/>
  <c r="I26" i="1"/>
  <c r="J26" i="1"/>
  <c r="I47" i="1"/>
  <c r="C47" i="1"/>
  <c r="G47" i="1"/>
  <c r="H47" i="1"/>
  <c r="B48" i="1"/>
  <c r="H38" i="1"/>
  <c r="J28" i="1"/>
  <c r="K28" i="1"/>
  <c r="N28" i="1"/>
  <c r="K25" i="1"/>
  <c r="N25" i="1"/>
  <c r="I23" i="1"/>
  <c r="J23" i="1"/>
  <c r="I46" i="1"/>
  <c r="K39" i="1"/>
  <c r="N39" i="1"/>
  <c r="C39" i="1"/>
  <c r="E34" i="1"/>
  <c r="E22" i="1"/>
  <c r="H29" i="1"/>
  <c r="K40" i="1"/>
  <c r="N40" i="1"/>
  <c r="I39" i="1"/>
  <c r="J39" i="1"/>
  <c r="I40" i="1"/>
  <c r="J40" i="1"/>
  <c r="K29" i="1"/>
  <c r="N29" i="1"/>
  <c r="K33" i="1"/>
  <c r="N33" i="1"/>
  <c r="K32" i="1"/>
  <c r="N32" i="1"/>
  <c r="C29" i="1"/>
  <c r="H44" i="1"/>
  <c r="J21" i="1"/>
  <c r="K31" i="1"/>
  <c r="N31" i="1"/>
  <c r="C32" i="1"/>
  <c r="H23" i="1"/>
  <c r="C23" i="1"/>
  <c r="K37" i="1"/>
  <c r="N37" i="1"/>
  <c r="H32" i="1"/>
  <c r="C27" i="1"/>
  <c r="K27" i="1"/>
  <c r="N27" i="1"/>
  <c r="K38" i="1"/>
  <c r="N38" i="1"/>
  <c r="H36" i="1"/>
  <c r="J45" i="1"/>
  <c r="K45" i="1"/>
  <c r="N45" i="1"/>
  <c r="K35" i="1"/>
  <c r="N35" i="1"/>
  <c r="J35" i="1"/>
  <c r="C36" i="1"/>
  <c r="K36" i="1"/>
  <c r="N36" i="1"/>
  <c r="H27" i="1"/>
  <c r="K22" i="1"/>
  <c r="N22" i="1"/>
  <c r="B49" i="1"/>
  <c r="C48" i="1"/>
  <c r="G48" i="1"/>
  <c r="H48" i="1"/>
  <c r="I48" i="1"/>
  <c r="J47" i="1"/>
  <c r="K47" i="1"/>
  <c r="N47" i="1"/>
  <c r="K23" i="1"/>
  <c r="N23" i="1"/>
  <c r="K24" i="1"/>
  <c r="N24" i="1"/>
  <c r="J46" i="1"/>
  <c r="K46" i="1"/>
  <c r="N46" i="1"/>
  <c r="K26" i="1"/>
  <c r="N26" i="1"/>
  <c r="J48" i="1"/>
  <c r="K48" i="1"/>
  <c r="N48" i="1"/>
  <c r="B50" i="1"/>
  <c r="C49" i="1"/>
  <c r="G49" i="1"/>
  <c r="H49" i="1"/>
  <c r="I49" i="1"/>
  <c r="J49" i="1"/>
  <c r="K49" i="1"/>
  <c r="N49" i="1"/>
  <c r="C50" i="1"/>
  <c r="G50" i="1"/>
  <c r="H50" i="1"/>
  <c r="I50" i="1"/>
  <c r="B51" i="1"/>
  <c r="K50" i="1"/>
  <c r="N50" i="1"/>
  <c r="J50" i="1"/>
  <c r="C51" i="1"/>
  <c r="B52" i="1"/>
  <c r="I51" i="1"/>
  <c r="G51" i="1"/>
  <c r="H51" i="1"/>
  <c r="J51" i="1"/>
  <c r="K51" i="1"/>
  <c r="N51" i="1"/>
  <c r="G52" i="1"/>
  <c r="H52" i="1"/>
  <c r="C52" i="1"/>
  <c r="B53" i="1"/>
  <c r="I52" i="1"/>
  <c r="J52" i="1"/>
  <c r="K52" i="1"/>
  <c r="N52" i="1"/>
  <c r="I53" i="1"/>
  <c r="C53" i="1"/>
  <c r="G53" i="1"/>
  <c r="H53" i="1"/>
  <c r="J53" i="1"/>
  <c r="K53" i="1"/>
  <c r="N53" i="1"/>
</calcChain>
</file>

<file path=xl/sharedStrings.xml><?xml version="1.0" encoding="utf-8"?>
<sst xmlns="http://schemas.openxmlformats.org/spreadsheetml/2006/main" count="76" uniqueCount="66">
  <si>
    <t>(inches)</t>
  </si>
  <si>
    <t>(GHz)</t>
  </si>
  <si>
    <t>a</t>
  </si>
  <si>
    <t>fc</t>
  </si>
  <si>
    <t>b</t>
  </si>
  <si>
    <t>f</t>
  </si>
  <si>
    <t>Operating</t>
  </si>
  <si>
    <t>Frequency</t>
  </si>
  <si>
    <t>Width</t>
  </si>
  <si>
    <t>Height</t>
  </si>
  <si>
    <t>Cutoff</t>
  </si>
  <si>
    <t>Guide</t>
  </si>
  <si>
    <t>Wavelength</t>
  </si>
  <si>
    <t>Free-Space</t>
  </si>
  <si>
    <t>lo</t>
  </si>
  <si>
    <r>
      <t>l</t>
    </r>
    <r>
      <rPr>
        <b/>
        <sz val="10"/>
        <rFont val="Arial"/>
        <family val="2"/>
      </rPr>
      <t>g</t>
    </r>
  </si>
  <si>
    <t>Size</t>
  </si>
  <si>
    <t>WR-</t>
  </si>
  <si>
    <t>WG</t>
  </si>
  <si>
    <t>Oversized</t>
  </si>
  <si>
    <t>Waveguide</t>
  </si>
  <si>
    <t xml:space="preserve">The spaces below can be used for nonstandard waveguide dimensions and for lower-frequency waveguides by entering the a and b dimensions. </t>
  </si>
  <si>
    <t>Velocity</t>
  </si>
  <si>
    <r>
      <t>v</t>
    </r>
    <r>
      <rPr>
        <b/>
        <sz val="8"/>
        <rFont val="Arial"/>
        <family val="2"/>
      </rPr>
      <t>g</t>
    </r>
  </si>
  <si>
    <t>Group</t>
  </si>
  <si>
    <t>(meters/nanosec)</t>
  </si>
  <si>
    <t>Delay</t>
  </si>
  <si>
    <t>This spreadsheet utilizes Microsoft Excel 97 SR-2 and should be compatible with later versions.  Cells containing formulas have been write-protected.</t>
  </si>
  <si>
    <t>Formulas have been taken from "Microwave Transmission Design Data", by Theodore Moreno, Dover Publications, 1948.</t>
  </si>
  <si>
    <t xml:space="preserve">Step 1. </t>
  </si>
  <si>
    <t>Enter standard millimeter wave waveguide sizes in Column A.  Allowed waveguide sizes are: WR-42, 28, 22, 19, 15, 12, 10, 08, 07, 06, 05, 03.</t>
  </si>
  <si>
    <t xml:space="preserve">Step 2. </t>
  </si>
  <si>
    <t xml:space="preserve">Step 3. </t>
  </si>
  <si>
    <t xml:space="preserve">Note 1. </t>
  </si>
  <si>
    <t xml:space="preserve">The error message #DIV/0! appears if no waveguide size or a nonstandard millimeter-wave waveguide size is entered.  </t>
  </si>
  <si>
    <t xml:space="preserve">Note 2. </t>
  </si>
  <si>
    <t>The error message #NUM! appears if an operating frequency below cutoff is entered.</t>
  </si>
  <si>
    <t xml:space="preserve">Note 3. </t>
  </si>
  <si>
    <t>If "yes" is indicated under "Waveguide Oversized", the operating frequency chosen is greater than twice the cutoff frequency, and the following should be considered:</t>
  </si>
  <si>
    <t>You should choose a smaller waveguide size, unless you are purposely using oversized waveguide for lower insertion loss operation and are observing the precautions below.</t>
  </si>
  <si>
    <t>Precautions:</t>
  </si>
  <si>
    <t xml:space="preserve">Oversized waveguide may be used for long straight runs only.  All components, bends, twists, etc. should be in normal sizes. </t>
  </si>
  <si>
    <t>Tapered adaptors should be used to transition between the normal and oversized sections.</t>
  </si>
  <si>
    <t xml:space="preserve">Note 4. </t>
  </si>
  <si>
    <t>Calculations for non-standard millimeter-wave waveguides or for low-frequency waveguides can be handled in the lower rows of this spreadsheet.</t>
  </si>
  <si>
    <t>The "a" and "b" dimensions are entered instead of the WR designation of the waveguide.</t>
  </si>
  <si>
    <t>Enter the operating frequency in Column B and the waveguide length in Column C.</t>
  </si>
  <si>
    <t>Unit Group</t>
  </si>
  <si>
    <t>t</t>
  </si>
  <si>
    <r>
      <t>Calculated results automatically appear in Columns C onward for the TE</t>
    </r>
    <r>
      <rPr>
        <sz val="8"/>
        <rFont val="Arial"/>
        <family val="2"/>
      </rPr>
      <t>10</t>
    </r>
    <r>
      <rPr>
        <sz val="10"/>
        <rFont val="Arial"/>
      </rPr>
      <t xml:space="preserve"> mode.</t>
    </r>
  </si>
  <si>
    <r>
      <t>d</t>
    </r>
    <r>
      <rPr>
        <b/>
        <sz val="12"/>
        <rFont val="Symbol"/>
        <family val="1"/>
        <charset val="2"/>
      </rPr>
      <t>t/</t>
    </r>
    <r>
      <rPr>
        <b/>
        <sz val="12"/>
        <rFont val="Times New Roman"/>
        <family val="1"/>
      </rPr>
      <t>df</t>
    </r>
  </si>
  <si>
    <t>Delay Slope</t>
  </si>
  <si>
    <t>(nanosec/meter)</t>
  </si>
  <si>
    <t>ns/GHz-m</t>
  </si>
  <si>
    <t>Phase Shift</t>
  </si>
  <si>
    <t>Length</t>
  </si>
  <si>
    <t>L</t>
  </si>
  <si>
    <t>meters</t>
  </si>
  <si>
    <t>Signal</t>
  </si>
  <si>
    <t>Bandwidth</t>
  </si>
  <si>
    <r>
      <t>D</t>
    </r>
    <r>
      <rPr>
        <b/>
        <sz val="12"/>
        <rFont val="Arial"/>
        <family val="2"/>
      </rPr>
      <t>f</t>
    </r>
  </si>
  <si>
    <t>GHz</t>
  </si>
  <si>
    <t>Parabolic</t>
  </si>
  <si>
    <t>degrees</t>
  </si>
  <si>
    <t>Group Delay inn Rectangular Waveguide</t>
  </si>
  <si>
    <t>by Paul Chorney 9/25/2001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</si>
</sst>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8" formatCode="0.0"/>
    <numFmt numFmtId="169" formatCode="0.000"/>
    <numFmt numFmtId="170" formatCode="0.0000"/>
    <numFmt numFmtId="171" formatCode="0.00000"/>
  </numFmts>
  <fonts count="11" x14ac:knownFonts="1">
    <font>
      <sz val="10"/>
      <name val="Arial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i/>
      <sz val="10"/>
      <name val="Arial"/>
      <family val="2"/>
    </font>
    <font>
      <b/>
      <sz val="8"/>
      <name val="Arial"/>
      <family val="2"/>
    </font>
    <font>
      <b/>
      <sz val="12"/>
      <name val="Symbol"/>
      <family val="1"/>
      <charset val="2"/>
    </font>
    <font>
      <i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sz val="8"/>
      <name val="Arial"/>
    </font>
  </fonts>
  <fills count="3">
    <fill>
      <patternFill patternType="none"/>
    </fill>
    <fill>
      <patternFill patternType="gray125"/>
    </fill>
    <fill>
      <patternFill patternType="lightGray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 applyAlignment="1" applyProtection="1">
      <alignment horizontal="center"/>
      <protection locked="0"/>
    </xf>
    <xf numFmtId="169" fontId="1" fillId="0" borderId="2" xfId="0" applyNumberFormat="1" applyFont="1" applyBorder="1" applyAlignment="1" applyProtection="1">
      <alignment horizontal="center"/>
    </xf>
    <xf numFmtId="0" fontId="1" fillId="0" borderId="2" xfId="0" applyFont="1" applyBorder="1" applyAlignment="1" applyProtection="1">
      <alignment horizontal="center"/>
    </xf>
    <xf numFmtId="170" fontId="1" fillId="0" borderId="2" xfId="0" applyNumberFormat="1" applyFont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169" fontId="1" fillId="0" borderId="3" xfId="0" applyNumberFormat="1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170" fontId="1" fillId="0" borderId="3" xfId="0" applyNumberFormat="1" applyFont="1" applyBorder="1" applyAlignment="1" applyProtection="1">
      <alignment horizontal="center"/>
    </xf>
    <xf numFmtId="169" fontId="2" fillId="0" borderId="3" xfId="0" applyNumberFormat="1" applyFont="1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170" fontId="0" fillId="0" borderId="4" xfId="0" applyNumberFormat="1" applyBorder="1" applyAlignment="1" applyProtection="1">
      <alignment horizontal="center"/>
    </xf>
    <xf numFmtId="169" fontId="0" fillId="0" borderId="4" xfId="0" applyNumberFormat="1" applyBorder="1" applyAlignment="1" applyProtection="1">
      <alignment horizontal="center"/>
    </xf>
    <xf numFmtId="2" fontId="0" fillId="0" borderId="4" xfId="0" applyNumberForma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170" fontId="0" fillId="0" borderId="1" xfId="0" applyNumberFormat="1" applyBorder="1" applyAlignment="1" applyProtection="1">
      <alignment horizontal="center"/>
    </xf>
    <xf numFmtId="2" fontId="0" fillId="0" borderId="1" xfId="0" applyNumberFormat="1" applyBorder="1" applyAlignment="1" applyProtection="1">
      <alignment horizontal="center"/>
    </xf>
    <xf numFmtId="169" fontId="0" fillId="0" borderId="1" xfId="0" applyNumberFormat="1" applyBorder="1" applyAlignment="1" applyProtection="1">
      <alignment horizontal="center"/>
    </xf>
    <xf numFmtId="170" fontId="0" fillId="0" borderId="0" xfId="0" applyNumberFormat="1" applyAlignment="1" applyProtection="1">
      <alignment horizontal="center"/>
    </xf>
    <xf numFmtId="169" fontId="0" fillId="0" borderId="0" xfId="0" applyNumberFormat="1" applyAlignment="1" applyProtection="1">
      <alignment horizontal="center"/>
    </xf>
    <xf numFmtId="0" fontId="0" fillId="0" borderId="0" xfId="0" applyProtection="1"/>
    <xf numFmtId="0" fontId="0" fillId="0" borderId="1" xfId="0" applyBorder="1" applyAlignment="1" applyProtection="1">
      <alignment horizontal="center"/>
    </xf>
    <xf numFmtId="170" fontId="0" fillId="0" borderId="1" xfId="0" applyNumberFormat="1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</xf>
    <xf numFmtId="170" fontId="0" fillId="0" borderId="2" xfId="0" applyNumberFormat="1" applyBorder="1" applyAlignment="1" applyProtection="1">
      <alignment horizontal="center"/>
    </xf>
    <xf numFmtId="2" fontId="0" fillId="0" borderId="2" xfId="0" applyNumberFormat="1" applyBorder="1" applyAlignment="1" applyProtection="1">
      <alignment horizontal="center"/>
    </xf>
    <xf numFmtId="169" fontId="0" fillId="0" borderId="2" xfId="0" applyNumberFormat="1" applyBorder="1" applyAlignment="1" applyProtection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</xf>
    <xf numFmtId="170" fontId="0" fillId="0" borderId="5" xfId="0" applyNumberFormat="1" applyBorder="1" applyAlignment="1" applyProtection="1">
      <alignment horizontal="center"/>
    </xf>
    <xf numFmtId="2" fontId="0" fillId="0" borderId="5" xfId="0" applyNumberFormat="1" applyBorder="1" applyAlignment="1" applyProtection="1">
      <alignment horizontal="center"/>
    </xf>
    <xf numFmtId="169" fontId="0" fillId="0" borderId="5" xfId="0" applyNumberFormat="1" applyBorder="1" applyAlignment="1" applyProtection="1">
      <alignment horizontal="center"/>
    </xf>
    <xf numFmtId="169" fontId="0" fillId="0" borderId="0" xfId="0" applyNumberFormat="1" applyBorder="1" applyAlignment="1" applyProtection="1">
      <alignment horizontal="center"/>
    </xf>
    <xf numFmtId="169" fontId="1" fillId="0" borderId="6" xfId="0" applyNumberFormat="1" applyFont="1" applyBorder="1" applyAlignment="1" applyProtection="1">
      <alignment horizontal="center"/>
    </xf>
    <xf numFmtId="169" fontId="5" fillId="0" borderId="3" xfId="0" applyNumberFormat="1" applyFont="1" applyBorder="1" applyAlignment="1" applyProtection="1">
      <alignment horizontal="center"/>
    </xf>
    <xf numFmtId="0" fontId="6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right"/>
    </xf>
    <xf numFmtId="169" fontId="8" fillId="0" borderId="3" xfId="0" applyNumberFormat="1" applyFont="1" applyBorder="1" applyAlignment="1" applyProtection="1">
      <alignment horizontal="center"/>
    </xf>
    <xf numFmtId="171" fontId="0" fillId="0" borderId="1" xfId="0" applyNumberFormat="1" applyBorder="1" applyAlignment="1" applyProtection="1">
      <alignment horizontal="center"/>
    </xf>
    <xf numFmtId="168" fontId="0" fillId="0" borderId="0" xfId="0" applyNumberFormat="1" applyAlignment="1" applyProtection="1">
      <alignment horizontal="center"/>
    </xf>
    <xf numFmtId="168" fontId="0" fillId="0" borderId="0" xfId="0" applyNumberFormat="1" applyAlignment="1" applyProtection="1">
      <alignment horizontal="left"/>
    </xf>
    <xf numFmtId="168" fontId="1" fillId="0" borderId="0" xfId="0" applyNumberFormat="1" applyFont="1" applyAlignment="1" applyProtection="1">
      <alignment horizontal="right"/>
    </xf>
    <xf numFmtId="168" fontId="0" fillId="0" borderId="0" xfId="0" applyNumberFormat="1" applyProtection="1"/>
    <xf numFmtId="168" fontId="1" fillId="0" borderId="2" xfId="0" applyNumberFormat="1" applyFont="1" applyBorder="1" applyAlignment="1" applyProtection="1">
      <alignment horizontal="center"/>
    </xf>
    <xf numFmtId="168" fontId="1" fillId="0" borderId="3" xfId="0" applyNumberFormat="1" applyFont="1" applyBorder="1" applyAlignment="1" applyProtection="1">
      <alignment horizontal="center"/>
    </xf>
    <xf numFmtId="168" fontId="0" fillId="0" borderId="4" xfId="0" applyNumberFormat="1" applyBorder="1" applyAlignment="1" applyProtection="1">
      <alignment horizontal="center"/>
    </xf>
    <xf numFmtId="168" fontId="0" fillId="0" borderId="1" xfId="0" applyNumberFormat="1" applyBorder="1" applyAlignment="1" applyProtection="1">
      <alignment horizontal="center"/>
      <protection locked="0"/>
    </xf>
    <xf numFmtId="168" fontId="0" fillId="0" borderId="5" xfId="0" applyNumberFormat="1" applyBorder="1" applyAlignment="1" applyProtection="1">
      <alignment horizontal="center"/>
      <protection locked="0"/>
    </xf>
    <xf numFmtId="2" fontId="0" fillId="0" borderId="0" xfId="0" applyNumberFormat="1" applyAlignment="1" applyProtection="1">
      <alignment horizontal="center"/>
    </xf>
    <xf numFmtId="2" fontId="1" fillId="0" borderId="2" xfId="0" applyNumberFormat="1" applyFont="1" applyBorder="1" applyAlignment="1" applyProtection="1">
      <alignment horizontal="center"/>
    </xf>
    <xf numFmtId="2" fontId="1" fillId="0" borderId="3" xfId="0" applyNumberFormat="1" applyFont="1" applyBorder="1" applyAlignment="1" applyProtection="1">
      <alignment horizontal="center"/>
    </xf>
    <xf numFmtId="2" fontId="8" fillId="0" borderId="3" xfId="0" applyNumberFormat="1" applyFont="1" applyBorder="1" applyAlignment="1" applyProtection="1">
      <alignment horizontal="center"/>
    </xf>
    <xf numFmtId="2" fontId="5" fillId="0" borderId="3" xfId="0" applyNumberFormat="1" applyFont="1" applyBorder="1" applyAlignment="1" applyProtection="1">
      <alignment horizontal="center"/>
    </xf>
    <xf numFmtId="2" fontId="0" fillId="0" borderId="0" xfId="0" applyNumberFormat="1" applyBorder="1" applyAlignment="1" applyProtection="1">
      <alignment horizontal="center"/>
    </xf>
    <xf numFmtId="2" fontId="0" fillId="0" borderId="1" xfId="0" applyNumberFormat="1" applyBorder="1" applyAlignment="1" applyProtection="1">
      <alignment horizontal="center"/>
      <protection locked="0"/>
    </xf>
    <xf numFmtId="2" fontId="0" fillId="0" borderId="0" xfId="0" applyNumberFormat="1" applyProtection="1"/>
    <xf numFmtId="0" fontId="3" fillId="0" borderId="4" xfId="0" applyFont="1" applyBorder="1" applyAlignment="1" applyProtection="1">
      <alignment horizontal="left"/>
    </xf>
    <xf numFmtId="0" fontId="0" fillId="2" borderId="1" xfId="0" applyFill="1" applyBorder="1" applyAlignment="1" applyProtection="1">
      <alignment horizontal="center"/>
    </xf>
    <xf numFmtId="0" fontId="8" fillId="0" borderId="0" xfId="0" applyFont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4"/>
  <sheetViews>
    <sheetView tabSelected="1" zoomScaleNormal="100" workbookViewId="0">
      <pane xSplit="2" ySplit="20" topLeftCell="C21" activePane="bottomRight" state="frozen"/>
      <selection pane="topRight" activeCell="D1" sqref="D1"/>
      <selection pane="bottomLeft" activeCell="A18" sqref="A18"/>
      <selection pane="bottomRight" activeCell="A21" sqref="A21"/>
    </sheetView>
  </sheetViews>
  <sheetFormatPr defaultColWidth="9.109375" defaultRowHeight="13.2" x14ac:dyDescent="0.25"/>
  <cols>
    <col min="1" max="1" width="9.33203125" style="14" bestFit="1" customWidth="1"/>
    <col min="2" max="2" width="11" style="41" bestFit="1" customWidth="1"/>
    <col min="3" max="3" width="11.109375" style="14" customWidth="1"/>
    <col min="4" max="4" width="8.5546875" style="18" bestFit="1" customWidth="1"/>
    <col min="5" max="5" width="8" style="18" bestFit="1" customWidth="1"/>
    <col min="6" max="6" width="10.5546875" style="14" bestFit="1" customWidth="1"/>
    <col min="7" max="8" width="11.88671875" style="19" customWidth="1"/>
    <col min="9" max="9" width="15.44140625" style="19" customWidth="1"/>
    <col min="10" max="10" width="14.44140625" style="19" customWidth="1"/>
    <col min="11" max="11" width="13.33203125" style="19" customWidth="1"/>
    <col min="12" max="13" width="13.33203125" style="50" customWidth="1"/>
    <col min="14" max="14" width="15.44140625" style="57" bestFit="1" customWidth="1"/>
    <col min="15" max="24" width="9.109375" style="20" hidden="1" customWidth="1"/>
    <col min="25" max="16384" width="9.109375" style="20"/>
  </cols>
  <sheetData>
    <row r="1" spans="1:11" ht="15.6" x14ac:dyDescent="0.3">
      <c r="A1" s="60" t="s">
        <v>64</v>
      </c>
    </row>
    <row r="2" spans="1:11" x14ac:dyDescent="0.25">
      <c r="A2" s="35" t="s">
        <v>65</v>
      </c>
    </row>
    <row r="3" spans="1:11" x14ac:dyDescent="0.25">
      <c r="A3" s="35"/>
    </row>
    <row r="4" spans="1:11" x14ac:dyDescent="0.25">
      <c r="A4" s="35" t="s">
        <v>27</v>
      </c>
    </row>
    <row r="5" spans="1:11" x14ac:dyDescent="0.25">
      <c r="A5" s="35" t="s">
        <v>28</v>
      </c>
    </row>
    <row r="6" spans="1:11" x14ac:dyDescent="0.25">
      <c r="A6" s="36" t="s">
        <v>29</v>
      </c>
      <c r="B6" s="42" t="s">
        <v>30</v>
      </c>
    </row>
    <row r="7" spans="1:11" x14ac:dyDescent="0.25">
      <c r="A7" s="36" t="s">
        <v>31</v>
      </c>
      <c r="B7" s="42" t="s">
        <v>46</v>
      </c>
    </row>
    <row r="8" spans="1:11" x14ac:dyDescent="0.25">
      <c r="A8" s="36" t="s">
        <v>32</v>
      </c>
      <c r="B8" s="42" t="s">
        <v>49</v>
      </c>
      <c r="K8" s="18"/>
    </row>
    <row r="9" spans="1:11" x14ac:dyDescent="0.25">
      <c r="A9" s="36" t="s">
        <v>33</v>
      </c>
      <c r="B9" s="42" t="s">
        <v>34</v>
      </c>
    </row>
    <row r="10" spans="1:11" x14ac:dyDescent="0.25">
      <c r="A10" s="36" t="s">
        <v>35</v>
      </c>
      <c r="B10" s="42" t="s">
        <v>36</v>
      </c>
    </row>
    <row r="11" spans="1:11" x14ac:dyDescent="0.25">
      <c r="A11" s="36" t="s">
        <v>37</v>
      </c>
      <c r="B11" s="42" t="s">
        <v>38</v>
      </c>
    </row>
    <row r="12" spans="1:11" x14ac:dyDescent="0.25">
      <c r="A12" s="38"/>
      <c r="B12" s="42" t="s">
        <v>39</v>
      </c>
    </row>
    <row r="13" spans="1:11" x14ac:dyDescent="0.25">
      <c r="A13" s="38"/>
      <c r="B13" s="43" t="s">
        <v>40</v>
      </c>
      <c r="C13" s="37" t="s">
        <v>41</v>
      </c>
    </row>
    <row r="14" spans="1:11" x14ac:dyDescent="0.25">
      <c r="A14" s="38"/>
      <c r="B14" s="43"/>
      <c r="C14" s="37" t="s">
        <v>42</v>
      </c>
    </row>
    <row r="15" spans="1:11" x14ac:dyDescent="0.25">
      <c r="A15" s="36" t="s">
        <v>43</v>
      </c>
      <c r="B15" s="42" t="s">
        <v>44</v>
      </c>
    </row>
    <row r="16" spans="1:11" x14ac:dyDescent="0.25">
      <c r="A16" s="36"/>
      <c r="B16" s="44" t="s">
        <v>45</v>
      </c>
    </row>
    <row r="17" spans="1:24" s="5" customFormat="1" x14ac:dyDescent="0.25">
      <c r="A17" s="2" t="s">
        <v>18</v>
      </c>
      <c r="B17" s="45" t="s">
        <v>6</v>
      </c>
      <c r="C17" s="3" t="s">
        <v>20</v>
      </c>
      <c r="D17" s="4" t="s">
        <v>18</v>
      </c>
      <c r="E17" s="4" t="s">
        <v>18</v>
      </c>
      <c r="F17" s="3" t="s">
        <v>10</v>
      </c>
      <c r="G17" s="2" t="s">
        <v>13</v>
      </c>
      <c r="H17" s="33" t="s">
        <v>11</v>
      </c>
      <c r="I17" s="2" t="s">
        <v>24</v>
      </c>
      <c r="J17" s="2" t="s">
        <v>47</v>
      </c>
      <c r="K17" s="2" t="s">
        <v>47</v>
      </c>
      <c r="L17" s="51" t="s">
        <v>20</v>
      </c>
      <c r="M17" s="51" t="s">
        <v>58</v>
      </c>
      <c r="N17" s="51" t="s">
        <v>62</v>
      </c>
    </row>
    <row r="18" spans="1:24" s="5" customFormat="1" x14ac:dyDescent="0.25">
      <c r="A18" s="6" t="s">
        <v>16</v>
      </c>
      <c r="B18" s="46" t="s">
        <v>7</v>
      </c>
      <c r="C18" s="7" t="s">
        <v>19</v>
      </c>
      <c r="D18" s="8" t="s">
        <v>8</v>
      </c>
      <c r="E18" s="8" t="s">
        <v>9</v>
      </c>
      <c r="F18" s="7" t="s">
        <v>7</v>
      </c>
      <c r="G18" s="6" t="s">
        <v>12</v>
      </c>
      <c r="H18" s="6" t="s">
        <v>12</v>
      </c>
      <c r="I18" s="6" t="s">
        <v>22</v>
      </c>
      <c r="J18" s="6" t="s">
        <v>26</v>
      </c>
      <c r="K18" s="6" t="s">
        <v>51</v>
      </c>
      <c r="L18" s="52" t="s">
        <v>55</v>
      </c>
      <c r="M18" s="52" t="s">
        <v>59</v>
      </c>
      <c r="N18" s="52" t="s">
        <v>54</v>
      </c>
    </row>
    <row r="19" spans="1:24" s="5" customFormat="1" ht="15.6" x14ac:dyDescent="0.3">
      <c r="A19" s="6" t="s">
        <v>17</v>
      </c>
      <c r="B19" s="46" t="s">
        <v>5</v>
      </c>
      <c r="C19" s="7"/>
      <c r="D19" s="8" t="s">
        <v>2</v>
      </c>
      <c r="E19" s="8" t="s">
        <v>4</v>
      </c>
      <c r="F19" s="7" t="s">
        <v>3</v>
      </c>
      <c r="G19" s="9" t="s">
        <v>14</v>
      </c>
      <c r="H19" s="9" t="s">
        <v>15</v>
      </c>
      <c r="I19" s="6" t="s">
        <v>23</v>
      </c>
      <c r="J19" s="34" t="s">
        <v>48</v>
      </c>
      <c r="K19" s="39" t="s">
        <v>50</v>
      </c>
      <c r="L19" s="53" t="s">
        <v>56</v>
      </c>
      <c r="M19" s="54" t="s">
        <v>60</v>
      </c>
      <c r="N19" s="53"/>
    </row>
    <row r="20" spans="1:24" s="14" customFormat="1" x14ac:dyDescent="0.25">
      <c r="A20" s="10"/>
      <c r="B20" s="47" t="s">
        <v>1</v>
      </c>
      <c r="C20" s="10"/>
      <c r="D20" s="11" t="s">
        <v>0</v>
      </c>
      <c r="E20" s="11" t="s">
        <v>0</v>
      </c>
      <c r="F20" s="10" t="s">
        <v>1</v>
      </c>
      <c r="G20" s="12" t="s">
        <v>0</v>
      </c>
      <c r="H20" s="12" t="s">
        <v>0</v>
      </c>
      <c r="I20" s="10" t="s">
        <v>25</v>
      </c>
      <c r="J20" s="12" t="s">
        <v>52</v>
      </c>
      <c r="K20" s="12" t="s">
        <v>53</v>
      </c>
      <c r="L20" s="13" t="s">
        <v>57</v>
      </c>
      <c r="M20" s="13" t="s">
        <v>61</v>
      </c>
      <c r="N20" s="13" t="s">
        <v>63</v>
      </c>
    </row>
    <row r="21" spans="1:24" s="14" customFormat="1" x14ac:dyDescent="0.25">
      <c r="A21" s="1">
        <v>15</v>
      </c>
      <c r="B21" s="48">
        <v>60</v>
      </c>
      <c r="C21" s="21" t="str">
        <f t="shared" ref="C21:C41" si="0">IF(B21&gt;2*F21,"yes","no")</f>
        <v>no</v>
      </c>
      <c r="D21" s="15">
        <f>IF(A21=42,0.42,0)+IF(A21=28,0.28,0)+IF(A21=22,0.224,0)+IF(A21=19,0.188,0)+IF(A21=15,0.148,0)+IF(A21=12,0.122,0)+IF(A21=10,0.1,0)+IF(A21=8,0.08,0)+IF(A21=7,0.065,0)+IF(A21=6,0.065,0)+IF(A21=5,0.051,0)+IF(A21=4,0.043,0)+IF(A21=3,0.034,0)</f>
        <v>0.14799999999999999</v>
      </c>
      <c r="E21" s="15">
        <f t="shared" ref="E21:E41" si="1">IF(A21=42,0.17,0.5*D21)</f>
        <v>7.3999999999999996E-2</v>
      </c>
      <c r="F21" s="16">
        <f>(2.99793/3)*15/(2.54*D21)</f>
        <v>39.874574377527139</v>
      </c>
      <c r="G21" s="17">
        <f t="shared" ref="G21:G47" si="2">(29.9793/2.54)*(1/B21)</f>
        <v>0.19671456692913386</v>
      </c>
      <c r="H21" s="17">
        <f t="shared" ref="H21:H41" si="3">G21/(1-(F21/B21)^2)^0.5</f>
        <v>0.26326174994303098</v>
      </c>
      <c r="I21" s="15">
        <f t="shared" ref="I21:I30" si="4">0.2998*(1-(F21/B21)^2)^0.5</f>
        <v>0.22401669508812561</v>
      </c>
      <c r="J21" s="17">
        <f>1/I21</f>
        <v>4.4639530085318482</v>
      </c>
      <c r="K21" s="40">
        <f t="shared" ref="K21:K41" si="5">-0.01*((2.998)^2)*(F21^2)/(((I21)^3)*B21^3)</f>
        <v>-5.885189741495532E-2</v>
      </c>
      <c r="L21" s="56">
        <v>5.2</v>
      </c>
      <c r="M21" s="56">
        <v>1</v>
      </c>
      <c r="N21" s="16">
        <f>180*K21*L21*M21^2</f>
        <v>-55.085375980398176</v>
      </c>
      <c r="O21" s="14" t="e">
        <f>IF(#REF!=0,1,P21)</f>
        <v>#REF!</v>
      </c>
      <c r="P21" s="14" t="e">
        <f>IF(#REF!="Cu",1,Q21)</f>
        <v>#REF!</v>
      </c>
      <c r="Q21" s="14" t="e">
        <f>IF(#REF!="Ag",1,R21)</f>
        <v>#REF!</v>
      </c>
      <c r="R21" s="14" t="e">
        <f>IF(#REF!="Al",1.28,S21)</f>
        <v>#REF!</v>
      </c>
      <c r="S21" s="14" t="e">
        <f>IF(#REF!="Au",1.19,T21)</f>
        <v>#REF!</v>
      </c>
      <c r="T21" s="14" t="e">
        <f>IF(#REF!="SS",7.27,U21)</f>
        <v>#REF!</v>
      </c>
      <c r="U21" s="14" t="e">
        <f>IF(#REF!="Ni",1.99,V21)</f>
        <v>#REF!</v>
      </c>
      <c r="V21" s="14" t="e">
        <f>IF(#REF!="Rh",1.65,W21)</f>
        <v>#REF!</v>
      </c>
      <c r="W21" s="14" t="e">
        <f>IF(#REF!="bronze",2.33,X21)</f>
        <v>#REF!</v>
      </c>
      <c r="X21" s="14">
        <v>0</v>
      </c>
    </row>
    <row r="22" spans="1:24" s="14" customFormat="1" x14ac:dyDescent="0.25">
      <c r="A22" s="1">
        <v>19</v>
      </c>
      <c r="B22" s="48">
        <v>60</v>
      </c>
      <c r="C22" s="21" t="str">
        <f t="shared" si="0"/>
        <v>no</v>
      </c>
      <c r="D22" s="15">
        <f t="shared" ref="D22:D41" si="6">IF(A22=42,0.42,0)+IF(A22=28,0.28,0)+IF(A22=22,0.224,0)+IF(A22=19,0.188,0)+IF(A22=15,0.148,0)+IF(A22=12,0.122,0)+IF(A22=10,0.1,0)+IF(A22=8,0.08,0)+IF(A22=7,0.065,0)+IF(A22=6,0.065,0)+IF(A22=5,0.051,0)+IF(A22=4,0.043,0)+IF(A22=3,0.034,0)</f>
        <v>0.188</v>
      </c>
      <c r="E22" s="15">
        <f t="shared" si="1"/>
        <v>9.4E-2</v>
      </c>
      <c r="F22" s="16">
        <f t="shared" ref="F22:F41" si="7">(2.99793/3)*15/(2.54*D22)</f>
        <v>31.390622382308596</v>
      </c>
      <c r="G22" s="17">
        <f t="shared" si="2"/>
        <v>0.19671456692913386</v>
      </c>
      <c r="H22" s="17">
        <f t="shared" si="3"/>
        <v>0.230824949372952</v>
      </c>
      <c r="I22" s="15">
        <f t="shared" si="4"/>
        <v>0.25549676205090943</v>
      </c>
      <c r="J22" s="17">
        <f t="shared" ref="J22:J41" si="8">1/I22</f>
        <v>3.9139439262276965</v>
      </c>
      <c r="K22" s="40">
        <f t="shared" si="5"/>
        <v>-2.4584034521292764E-2</v>
      </c>
      <c r="L22" s="56">
        <v>1</v>
      </c>
      <c r="M22" s="56">
        <v>0.5</v>
      </c>
      <c r="N22" s="16">
        <f t="shared" ref="N22:N41" si="9">180*K22*L22*M22^2</f>
        <v>-1.1062815534581745</v>
      </c>
      <c r="O22" s="14" t="e">
        <f>IF(#REF!=0,1,P22)</f>
        <v>#REF!</v>
      </c>
      <c r="P22" s="14" t="e">
        <f>IF(#REF!="Cu",1,Q22)</f>
        <v>#REF!</v>
      </c>
      <c r="Q22" s="14" t="e">
        <f>IF(#REF!="Ag",1,R22)</f>
        <v>#REF!</v>
      </c>
      <c r="R22" s="14" t="e">
        <f>IF(#REF!="Al",1.28,S22)</f>
        <v>#REF!</v>
      </c>
      <c r="S22" s="14" t="e">
        <f>IF(#REF!="Au",1.19,T22)</f>
        <v>#REF!</v>
      </c>
      <c r="T22" s="14" t="e">
        <f>IF(#REF!="SS",7.27,U22)</f>
        <v>#REF!</v>
      </c>
      <c r="U22" s="14" t="e">
        <f>IF(#REF!="Ni",1.99,V22)</f>
        <v>#REF!</v>
      </c>
      <c r="V22" s="14" t="e">
        <f>IF(#REF!="Rh",1.65,W22)</f>
        <v>#REF!</v>
      </c>
      <c r="W22" s="14" t="e">
        <f>IF(#REF!="bronze",2.33,X22)</f>
        <v>#REF!</v>
      </c>
      <c r="X22" s="14">
        <v>0</v>
      </c>
    </row>
    <row r="23" spans="1:24" s="14" customFormat="1" x14ac:dyDescent="0.25">
      <c r="A23" s="1"/>
      <c r="B23" s="48"/>
      <c r="C23" s="21" t="e">
        <f t="shared" si="0"/>
        <v>#DIV/0!</v>
      </c>
      <c r="D23" s="15">
        <f t="shared" si="6"/>
        <v>0</v>
      </c>
      <c r="E23" s="15">
        <f t="shared" si="1"/>
        <v>0</v>
      </c>
      <c r="F23" s="16" t="e">
        <f t="shared" si="7"/>
        <v>#DIV/0!</v>
      </c>
      <c r="G23" s="17" t="e">
        <f t="shared" si="2"/>
        <v>#DIV/0!</v>
      </c>
      <c r="H23" s="17" t="e">
        <f t="shared" si="3"/>
        <v>#DIV/0!</v>
      </c>
      <c r="I23" s="15" t="e">
        <f t="shared" si="4"/>
        <v>#DIV/0!</v>
      </c>
      <c r="J23" s="17" t="e">
        <f t="shared" si="8"/>
        <v>#DIV/0!</v>
      </c>
      <c r="K23" s="40" t="e">
        <f t="shared" si="5"/>
        <v>#DIV/0!</v>
      </c>
      <c r="L23" s="56">
        <v>4.2699999999999996</v>
      </c>
      <c r="M23" s="56">
        <v>1</v>
      </c>
      <c r="N23" s="16" t="e">
        <f t="shared" si="9"/>
        <v>#DIV/0!</v>
      </c>
      <c r="O23" s="14" t="e">
        <f>IF(#REF!=0,1,P23)</f>
        <v>#REF!</v>
      </c>
      <c r="P23" s="14" t="e">
        <f>IF(#REF!="Cu",1,Q23)</f>
        <v>#REF!</v>
      </c>
      <c r="Q23" s="14" t="e">
        <f>IF(#REF!="Ag",1,R23)</f>
        <v>#REF!</v>
      </c>
      <c r="R23" s="14" t="e">
        <f>IF(#REF!="Al",1.28,S23)</f>
        <v>#REF!</v>
      </c>
      <c r="S23" s="14" t="e">
        <f>IF(#REF!="Au",1.19,T23)</f>
        <v>#REF!</v>
      </c>
      <c r="T23" s="14" t="e">
        <f>IF(#REF!="SS",7.27,U23)</f>
        <v>#REF!</v>
      </c>
      <c r="U23" s="14" t="e">
        <f>IF(#REF!="Ni",1.99,V23)</f>
        <v>#REF!</v>
      </c>
      <c r="V23" s="14" t="e">
        <f>IF(#REF!="Rh",1.65,W23)</f>
        <v>#REF!</v>
      </c>
      <c r="W23" s="14" t="e">
        <f>IF(#REF!="bronze",2.33,X23)</f>
        <v>#REF!</v>
      </c>
      <c r="X23" s="14">
        <v>0</v>
      </c>
    </row>
    <row r="24" spans="1:24" s="14" customFormat="1" x14ac:dyDescent="0.25">
      <c r="A24" s="1"/>
      <c r="B24" s="48"/>
      <c r="C24" s="21" t="e">
        <f t="shared" si="0"/>
        <v>#DIV/0!</v>
      </c>
      <c r="D24" s="15">
        <f t="shared" si="6"/>
        <v>0</v>
      </c>
      <c r="E24" s="15">
        <f t="shared" si="1"/>
        <v>0</v>
      </c>
      <c r="F24" s="16" t="e">
        <f t="shared" si="7"/>
        <v>#DIV/0!</v>
      </c>
      <c r="G24" s="17" t="e">
        <f t="shared" si="2"/>
        <v>#DIV/0!</v>
      </c>
      <c r="H24" s="17" t="e">
        <f t="shared" si="3"/>
        <v>#DIV/0!</v>
      </c>
      <c r="I24" s="15" t="e">
        <f t="shared" si="4"/>
        <v>#DIV/0!</v>
      </c>
      <c r="J24" s="17" t="e">
        <f t="shared" si="8"/>
        <v>#DIV/0!</v>
      </c>
      <c r="K24" s="40" t="e">
        <f t="shared" si="5"/>
        <v>#DIV/0!</v>
      </c>
      <c r="L24" s="56">
        <v>2.14</v>
      </c>
      <c r="M24" s="56">
        <v>1</v>
      </c>
      <c r="N24" s="16" t="e">
        <f t="shared" si="9"/>
        <v>#DIV/0!</v>
      </c>
      <c r="O24" s="14" t="e">
        <f>IF(#REF!=0,1,P24)</f>
        <v>#REF!</v>
      </c>
      <c r="P24" s="14" t="e">
        <f>IF(#REF!="Cu",1,Q24)</f>
        <v>#REF!</v>
      </c>
      <c r="Q24" s="14" t="e">
        <f>IF(#REF!="Ag",1,R24)</f>
        <v>#REF!</v>
      </c>
      <c r="R24" s="14" t="e">
        <f>IF(#REF!="Al",1.28,S24)</f>
        <v>#REF!</v>
      </c>
      <c r="S24" s="14" t="e">
        <f>IF(#REF!="Au",1.19,T24)</f>
        <v>#REF!</v>
      </c>
      <c r="T24" s="14" t="e">
        <f>IF(#REF!="SS",7.27,U24)</f>
        <v>#REF!</v>
      </c>
      <c r="U24" s="14" t="e">
        <f>IF(#REF!="Ni",1.99,V24)</f>
        <v>#REF!</v>
      </c>
      <c r="V24" s="14" t="e">
        <f>IF(#REF!="Rh",1.65,W24)</f>
        <v>#REF!</v>
      </c>
      <c r="W24" s="14" t="e">
        <f>IF(#REF!="bronze",2.33,X24)</f>
        <v>#REF!</v>
      </c>
      <c r="X24" s="14">
        <v>0</v>
      </c>
    </row>
    <row r="25" spans="1:24" s="14" customFormat="1" x14ac:dyDescent="0.25">
      <c r="A25" s="1"/>
      <c r="B25" s="48"/>
      <c r="C25" s="21" t="e">
        <f t="shared" si="0"/>
        <v>#DIV/0!</v>
      </c>
      <c r="D25" s="15">
        <f t="shared" si="6"/>
        <v>0</v>
      </c>
      <c r="E25" s="15">
        <f t="shared" si="1"/>
        <v>0</v>
      </c>
      <c r="F25" s="16" t="e">
        <f t="shared" si="7"/>
        <v>#DIV/0!</v>
      </c>
      <c r="G25" s="17" t="e">
        <f t="shared" si="2"/>
        <v>#DIV/0!</v>
      </c>
      <c r="H25" s="17" t="e">
        <f t="shared" si="3"/>
        <v>#DIV/0!</v>
      </c>
      <c r="I25" s="15" t="e">
        <f t="shared" si="4"/>
        <v>#DIV/0!</v>
      </c>
      <c r="J25" s="17" t="e">
        <f t="shared" si="8"/>
        <v>#DIV/0!</v>
      </c>
      <c r="K25" s="40" t="e">
        <f t="shared" si="5"/>
        <v>#DIV/0!</v>
      </c>
      <c r="L25" s="56"/>
      <c r="M25" s="56"/>
      <c r="N25" s="16" t="e">
        <f t="shared" si="9"/>
        <v>#DIV/0!</v>
      </c>
      <c r="O25" s="14" t="e">
        <f>IF(#REF!=0,1,P25)</f>
        <v>#REF!</v>
      </c>
      <c r="P25" s="14" t="e">
        <f>IF(#REF!="Cu",1,Q25)</f>
        <v>#REF!</v>
      </c>
      <c r="Q25" s="14" t="e">
        <f>IF(#REF!="Ag",1,R25)</f>
        <v>#REF!</v>
      </c>
      <c r="R25" s="14" t="e">
        <f>IF(#REF!="Al",1.28,S25)</f>
        <v>#REF!</v>
      </c>
      <c r="S25" s="14" t="e">
        <f>IF(#REF!="Au",1.19,T25)</f>
        <v>#REF!</v>
      </c>
      <c r="T25" s="14" t="e">
        <f>IF(#REF!="SS",7.27,U25)</f>
        <v>#REF!</v>
      </c>
      <c r="U25" s="14" t="e">
        <f>IF(#REF!="Ni",1.99,V25)</f>
        <v>#REF!</v>
      </c>
      <c r="V25" s="14" t="e">
        <f>IF(#REF!="Rh",1.65,W25)</f>
        <v>#REF!</v>
      </c>
      <c r="W25" s="14" t="e">
        <f>IF(#REF!="bronze",2.33,X25)</f>
        <v>#REF!</v>
      </c>
      <c r="X25" s="14">
        <v>0</v>
      </c>
    </row>
    <row r="26" spans="1:24" s="14" customFormat="1" x14ac:dyDescent="0.25">
      <c r="A26" s="1"/>
      <c r="B26" s="48"/>
      <c r="C26" s="21" t="e">
        <f t="shared" si="0"/>
        <v>#DIV/0!</v>
      </c>
      <c r="D26" s="15">
        <f t="shared" si="6"/>
        <v>0</v>
      </c>
      <c r="E26" s="15">
        <f t="shared" si="1"/>
        <v>0</v>
      </c>
      <c r="F26" s="16" t="e">
        <f t="shared" si="7"/>
        <v>#DIV/0!</v>
      </c>
      <c r="G26" s="17" t="e">
        <f t="shared" si="2"/>
        <v>#DIV/0!</v>
      </c>
      <c r="H26" s="17" t="e">
        <f t="shared" si="3"/>
        <v>#DIV/0!</v>
      </c>
      <c r="I26" s="15" t="e">
        <f t="shared" si="4"/>
        <v>#DIV/0!</v>
      </c>
      <c r="J26" s="17" t="e">
        <f t="shared" si="8"/>
        <v>#DIV/0!</v>
      </c>
      <c r="K26" s="40" t="e">
        <f t="shared" si="5"/>
        <v>#DIV/0!</v>
      </c>
      <c r="L26" s="56"/>
      <c r="M26" s="56"/>
      <c r="N26" s="16" t="e">
        <f t="shared" si="9"/>
        <v>#DIV/0!</v>
      </c>
      <c r="O26" s="14" t="e">
        <f>IF(#REF!=0,1,P26)</f>
        <v>#REF!</v>
      </c>
      <c r="P26" s="14" t="e">
        <f>IF(#REF!="Cu",1,Q26)</f>
        <v>#REF!</v>
      </c>
      <c r="Q26" s="14" t="e">
        <f>IF(#REF!="Ag",1,R26)</f>
        <v>#REF!</v>
      </c>
      <c r="R26" s="14" t="e">
        <f>IF(#REF!="Al",1.28,S26)</f>
        <v>#REF!</v>
      </c>
      <c r="S26" s="14" t="e">
        <f>IF(#REF!="Au",1.19,T26)</f>
        <v>#REF!</v>
      </c>
      <c r="T26" s="14" t="e">
        <f>IF(#REF!="SS",7.27,U26)</f>
        <v>#REF!</v>
      </c>
      <c r="U26" s="14" t="e">
        <f>IF(#REF!="Ni",1.99,V26)</f>
        <v>#REF!</v>
      </c>
      <c r="V26" s="14" t="e">
        <f>IF(#REF!="Rh",1.65,W26)</f>
        <v>#REF!</v>
      </c>
      <c r="W26" s="14" t="e">
        <f>IF(#REF!="bronze",2.33,X26)</f>
        <v>#REF!</v>
      </c>
      <c r="X26" s="14">
        <v>0</v>
      </c>
    </row>
    <row r="27" spans="1:24" s="14" customFormat="1" x14ac:dyDescent="0.25">
      <c r="A27" s="1"/>
      <c r="B27" s="48"/>
      <c r="C27" s="21" t="e">
        <f t="shared" si="0"/>
        <v>#DIV/0!</v>
      </c>
      <c r="D27" s="15">
        <f t="shared" si="6"/>
        <v>0</v>
      </c>
      <c r="E27" s="15">
        <f t="shared" si="1"/>
        <v>0</v>
      </c>
      <c r="F27" s="16" t="e">
        <f t="shared" si="7"/>
        <v>#DIV/0!</v>
      </c>
      <c r="G27" s="17" t="e">
        <f t="shared" si="2"/>
        <v>#DIV/0!</v>
      </c>
      <c r="H27" s="17" t="e">
        <f t="shared" si="3"/>
        <v>#DIV/0!</v>
      </c>
      <c r="I27" s="15" t="e">
        <f t="shared" si="4"/>
        <v>#DIV/0!</v>
      </c>
      <c r="J27" s="17" t="e">
        <f t="shared" si="8"/>
        <v>#DIV/0!</v>
      </c>
      <c r="K27" s="40" t="e">
        <f t="shared" si="5"/>
        <v>#DIV/0!</v>
      </c>
      <c r="L27" s="56"/>
      <c r="M27" s="56"/>
      <c r="N27" s="16" t="e">
        <f t="shared" si="9"/>
        <v>#DIV/0!</v>
      </c>
      <c r="O27" s="14" t="e">
        <f>IF(#REF!=0,1,P27)</f>
        <v>#REF!</v>
      </c>
      <c r="P27" s="14" t="e">
        <f>IF(#REF!="Cu",1,Q27)</f>
        <v>#REF!</v>
      </c>
      <c r="Q27" s="14" t="e">
        <f>IF(#REF!="Ag",1,R27)</f>
        <v>#REF!</v>
      </c>
      <c r="R27" s="14" t="e">
        <f>IF(#REF!="Al",1.28,S27)</f>
        <v>#REF!</v>
      </c>
      <c r="S27" s="14" t="e">
        <f>IF(#REF!="Au",1.19,T27)</f>
        <v>#REF!</v>
      </c>
      <c r="T27" s="14" t="e">
        <f>IF(#REF!="SS",7.27,U27)</f>
        <v>#REF!</v>
      </c>
      <c r="U27" s="14" t="e">
        <f>IF(#REF!="Ni",1.99,V27)</f>
        <v>#REF!</v>
      </c>
      <c r="V27" s="14" t="e">
        <f>IF(#REF!="Rh",1.65,W27)</f>
        <v>#REF!</v>
      </c>
      <c r="W27" s="14" t="e">
        <f>IF(#REF!="bronze",2.33,X27)</f>
        <v>#REF!</v>
      </c>
      <c r="X27" s="14">
        <v>0</v>
      </c>
    </row>
    <row r="28" spans="1:24" s="14" customFormat="1" x14ac:dyDescent="0.25">
      <c r="A28" s="1"/>
      <c r="B28" s="48"/>
      <c r="C28" s="21" t="e">
        <f t="shared" si="0"/>
        <v>#DIV/0!</v>
      </c>
      <c r="D28" s="15">
        <f t="shared" si="6"/>
        <v>0</v>
      </c>
      <c r="E28" s="15">
        <f t="shared" si="1"/>
        <v>0</v>
      </c>
      <c r="F28" s="16" t="e">
        <f t="shared" si="7"/>
        <v>#DIV/0!</v>
      </c>
      <c r="G28" s="17" t="e">
        <f t="shared" si="2"/>
        <v>#DIV/0!</v>
      </c>
      <c r="H28" s="17" t="e">
        <f t="shared" si="3"/>
        <v>#DIV/0!</v>
      </c>
      <c r="I28" s="15" t="e">
        <f t="shared" si="4"/>
        <v>#DIV/0!</v>
      </c>
      <c r="J28" s="17" t="e">
        <f t="shared" si="8"/>
        <v>#DIV/0!</v>
      </c>
      <c r="K28" s="40" t="e">
        <f t="shared" si="5"/>
        <v>#DIV/0!</v>
      </c>
      <c r="L28" s="56"/>
      <c r="M28" s="56"/>
      <c r="N28" s="16" t="e">
        <f t="shared" si="9"/>
        <v>#DIV/0!</v>
      </c>
      <c r="O28" s="14" t="e">
        <f>IF(#REF!=0,1,P28)</f>
        <v>#REF!</v>
      </c>
      <c r="P28" s="14" t="e">
        <f>IF(#REF!="Cu",1,Q28)</f>
        <v>#REF!</v>
      </c>
      <c r="Q28" s="14" t="e">
        <f>IF(#REF!="Ag",1,R28)</f>
        <v>#REF!</v>
      </c>
      <c r="R28" s="14" t="e">
        <f>IF(#REF!="Al",1.28,S28)</f>
        <v>#REF!</v>
      </c>
      <c r="S28" s="14" t="e">
        <f>IF(#REF!="Au",1.19,T28)</f>
        <v>#REF!</v>
      </c>
      <c r="T28" s="14" t="e">
        <f>IF(#REF!="SS",7.27,U28)</f>
        <v>#REF!</v>
      </c>
      <c r="U28" s="14" t="e">
        <f>IF(#REF!="Ni",1.99,V28)</f>
        <v>#REF!</v>
      </c>
      <c r="V28" s="14" t="e">
        <f>IF(#REF!="Rh",1.65,W28)</f>
        <v>#REF!</v>
      </c>
      <c r="W28" s="14" t="e">
        <f>IF(#REF!="bronze",2.33,X28)</f>
        <v>#REF!</v>
      </c>
      <c r="X28" s="14">
        <v>0</v>
      </c>
    </row>
    <row r="29" spans="1:24" s="14" customFormat="1" x14ac:dyDescent="0.25">
      <c r="A29" s="1"/>
      <c r="B29" s="48"/>
      <c r="C29" s="21" t="e">
        <f t="shared" si="0"/>
        <v>#DIV/0!</v>
      </c>
      <c r="D29" s="15">
        <f t="shared" si="6"/>
        <v>0</v>
      </c>
      <c r="E29" s="15">
        <f t="shared" si="1"/>
        <v>0</v>
      </c>
      <c r="F29" s="16" t="e">
        <f t="shared" si="7"/>
        <v>#DIV/0!</v>
      </c>
      <c r="G29" s="17" t="e">
        <f t="shared" si="2"/>
        <v>#DIV/0!</v>
      </c>
      <c r="H29" s="17" t="e">
        <f t="shared" si="3"/>
        <v>#DIV/0!</v>
      </c>
      <c r="I29" s="15" t="e">
        <f t="shared" si="4"/>
        <v>#DIV/0!</v>
      </c>
      <c r="J29" s="17" t="e">
        <f t="shared" si="8"/>
        <v>#DIV/0!</v>
      </c>
      <c r="K29" s="40" t="e">
        <f t="shared" si="5"/>
        <v>#DIV/0!</v>
      </c>
      <c r="L29" s="56"/>
      <c r="M29" s="56"/>
      <c r="N29" s="16" t="e">
        <f t="shared" si="9"/>
        <v>#DIV/0!</v>
      </c>
      <c r="O29" s="14" t="e">
        <f>IF(#REF!=0,1,P29)</f>
        <v>#REF!</v>
      </c>
      <c r="P29" s="14" t="e">
        <f>IF(#REF!="Cu",1,Q29)</f>
        <v>#REF!</v>
      </c>
      <c r="Q29" s="14" t="e">
        <f>IF(#REF!="Ag",1,R29)</f>
        <v>#REF!</v>
      </c>
      <c r="R29" s="14" t="e">
        <f>IF(#REF!="Al",1.28,S29)</f>
        <v>#REF!</v>
      </c>
      <c r="S29" s="14" t="e">
        <f>IF(#REF!="Au",1.19,T29)</f>
        <v>#REF!</v>
      </c>
      <c r="T29" s="14" t="e">
        <f>IF(#REF!="SS",7.27,U29)</f>
        <v>#REF!</v>
      </c>
      <c r="U29" s="14" t="e">
        <f>IF(#REF!="Ni",1.99,V29)</f>
        <v>#REF!</v>
      </c>
      <c r="V29" s="14" t="e">
        <f>IF(#REF!="Rh",1.65,W29)</f>
        <v>#REF!</v>
      </c>
      <c r="W29" s="14" t="e">
        <f>IF(#REF!="bronze",2.33,X29)</f>
        <v>#REF!</v>
      </c>
      <c r="X29" s="14">
        <v>0</v>
      </c>
    </row>
    <row r="30" spans="1:24" s="14" customFormat="1" x14ac:dyDescent="0.25">
      <c r="A30" s="1"/>
      <c r="B30" s="48"/>
      <c r="C30" s="21" t="e">
        <f t="shared" si="0"/>
        <v>#DIV/0!</v>
      </c>
      <c r="D30" s="15">
        <f t="shared" si="6"/>
        <v>0</v>
      </c>
      <c r="E30" s="15">
        <f t="shared" si="1"/>
        <v>0</v>
      </c>
      <c r="F30" s="16" t="e">
        <f t="shared" si="7"/>
        <v>#DIV/0!</v>
      </c>
      <c r="G30" s="17" t="e">
        <f t="shared" si="2"/>
        <v>#DIV/0!</v>
      </c>
      <c r="H30" s="17" t="e">
        <f t="shared" si="3"/>
        <v>#DIV/0!</v>
      </c>
      <c r="I30" s="15" t="e">
        <f t="shared" si="4"/>
        <v>#DIV/0!</v>
      </c>
      <c r="J30" s="17" t="e">
        <f t="shared" si="8"/>
        <v>#DIV/0!</v>
      </c>
      <c r="K30" s="40" t="e">
        <f t="shared" si="5"/>
        <v>#DIV/0!</v>
      </c>
      <c r="L30" s="56"/>
      <c r="M30" s="56"/>
      <c r="N30" s="16" t="e">
        <f t="shared" si="9"/>
        <v>#DIV/0!</v>
      </c>
      <c r="O30" s="14" t="e">
        <f>IF(#REF!=0,1,P30)</f>
        <v>#REF!</v>
      </c>
      <c r="P30" s="14" t="e">
        <f>IF(#REF!="Cu",1,Q30)</f>
        <v>#REF!</v>
      </c>
      <c r="Q30" s="14" t="e">
        <f>IF(#REF!="Ag",1,R30)</f>
        <v>#REF!</v>
      </c>
      <c r="R30" s="14" t="e">
        <f>IF(#REF!="Al",1.28,S30)</f>
        <v>#REF!</v>
      </c>
      <c r="S30" s="14" t="e">
        <f>IF(#REF!="Au",1.19,T30)</f>
        <v>#REF!</v>
      </c>
      <c r="T30" s="14" t="e">
        <f>IF(#REF!="SS",7.27,U30)</f>
        <v>#REF!</v>
      </c>
      <c r="U30" s="14" t="e">
        <f>IF(#REF!="Ni",1.99,V30)</f>
        <v>#REF!</v>
      </c>
      <c r="V30" s="14" t="e">
        <f>IF(#REF!="Rh",1.65,W30)</f>
        <v>#REF!</v>
      </c>
      <c r="W30" s="14" t="e">
        <f>IF(#REF!="bronze",2.33,X30)</f>
        <v>#REF!</v>
      </c>
      <c r="X30" s="14">
        <v>0</v>
      </c>
    </row>
    <row r="31" spans="1:24" s="14" customFormat="1" x14ac:dyDescent="0.25">
      <c r="A31" s="1"/>
      <c r="B31" s="48"/>
      <c r="C31" s="21" t="e">
        <f t="shared" si="0"/>
        <v>#DIV/0!</v>
      </c>
      <c r="D31" s="15">
        <f>IF(A31=42,0.42,0)+IF(A31=28,0.28,0)+IF(A31=22,0.224,0)+IF(A31=19,0.188,0)+IF(A31=15,0.148,0)+IF(A31=12,0.122,0)+IF(A31=10,0.1,0)+IF(A31=8,0.08,0)+IF(A31=7,0.065,0)+IF(A31=6,0.065,0)+IF(A31=5,0.051,0)+IF(A31=4,0.043,0)+IF(A31=3,0.034,0)</f>
        <v>0</v>
      </c>
      <c r="E31" s="15">
        <f t="shared" si="1"/>
        <v>0</v>
      </c>
      <c r="F31" s="16" t="e">
        <f>(2.99793/3)*15/(2.54*D31)</f>
        <v>#DIV/0!</v>
      </c>
      <c r="G31" s="17" t="e">
        <f>(29.9793/2.54)*(1/B31)</f>
        <v>#DIV/0!</v>
      </c>
      <c r="H31" s="17" t="e">
        <f t="shared" si="3"/>
        <v>#DIV/0!</v>
      </c>
      <c r="I31" s="15" t="e">
        <f t="shared" ref="I31:I41" si="10">0.2998*(1-(F31/B31)^2)^0.5</f>
        <v>#DIV/0!</v>
      </c>
      <c r="J31" s="17" t="e">
        <f t="shared" si="8"/>
        <v>#DIV/0!</v>
      </c>
      <c r="K31" s="40" t="e">
        <f t="shared" si="5"/>
        <v>#DIV/0!</v>
      </c>
      <c r="L31" s="56"/>
      <c r="M31" s="56"/>
      <c r="N31" s="16" t="e">
        <f t="shared" si="9"/>
        <v>#DIV/0!</v>
      </c>
      <c r="O31" s="14" t="e">
        <f>IF(#REF!=0,1,P31)</f>
        <v>#REF!</v>
      </c>
      <c r="P31" s="14" t="e">
        <f>IF(#REF!="Cu",1,Q31)</f>
        <v>#REF!</v>
      </c>
      <c r="Q31" s="14" t="e">
        <f>IF(#REF!="Ag",1,R31)</f>
        <v>#REF!</v>
      </c>
      <c r="R31" s="14" t="e">
        <f>IF(#REF!="Al",1.28,S31)</f>
        <v>#REF!</v>
      </c>
      <c r="S31" s="14" t="e">
        <f>IF(#REF!="Au",1.19,T31)</f>
        <v>#REF!</v>
      </c>
      <c r="T31" s="14" t="e">
        <f>IF(#REF!="SS",7.27,U31)</f>
        <v>#REF!</v>
      </c>
      <c r="U31" s="14" t="e">
        <f>IF(#REF!="Ni",1.99,V31)</f>
        <v>#REF!</v>
      </c>
      <c r="V31" s="14" t="e">
        <f>IF(#REF!="Rh",1.65,W31)</f>
        <v>#REF!</v>
      </c>
      <c r="W31" s="14" t="e">
        <f>IF(#REF!="bronze",2.33,X31)</f>
        <v>#REF!</v>
      </c>
      <c r="X31" s="14">
        <v>0</v>
      </c>
    </row>
    <row r="32" spans="1:24" s="14" customFormat="1" x14ac:dyDescent="0.25">
      <c r="A32" s="1"/>
      <c r="B32" s="48"/>
      <c r="C32" s="21" t="e">
        <f t="shared" si="0"/>
        <v>#DIV/0!</v>
      </c>
      <c r="D32" s="15">
        <f>IF(A32=42,0.42,0)+IF(A32=28,0.28,0)+IF(A32=22,0.224,0)+IF(A32=19,0.188,0)+IF(A32=15,0.148,0)+IF(A32=12,0.122,0)+IF(A32=10,0.1,0)+IF(A32=8,0.08,0)+IF(A32=7,0.065,0)+IF(A32=6,0.065,0)+IF(A32=5,0.051,0)+IF(A32=4,0.043,0)+IF(A32=3,0.034,0)</f>
        <v>0</v>
      </c>
      <c r="E32" s="15">
        <f t="shared" si="1"/>
        <v>0</v>
      </c>
      <c r="F32" s="16" t="e">
        <f>(2.99793/3)*15/(2.54*D32)</f>
        <v>#DIV/0!</v>
      </c>
      <c r="G32" s="17" t="e">
        <f>(29.9793/2.54)*(1/B32)</f>
        <v>#DIV/0!</v>
      </c>
      <c r="H32" s="17" t="e">
        <f t="shared" si="3"/>
        <v>#DIV/0!</v>
      </c>
      <c r="I32" s="15" t="e">
        <f t="shared" si="10"/>
        <v>#DIV/0!</v>
      </c>
      <c r="J32" s="17" t="e">
        <f t="shared" si="8"/>
        <v>#DIV/0!</v>
      </c>
      <c r="K32" s="40" t="e">
        <f t="shared" si="5"/>
        <v>#DIV/0!</v>
      </c>
      <c r="L32" s="56"/>
      <c r="M32" s="56"/>
      <c r="N32" s="16" t="e">
        <f t="shared" si="9"/>
        <v>#DIV/0!</v>
      </c>
      <c r="O32" s="14" t="e">
        <f>IF(#REF!=0,1,P32)</f>
        <v>#REF!</v>
      </c>
      <c r="P32" s="14" t="e">
        <f>IF(#REF!="Cu",1,Q32)</f>
        <v>#REF!</v>
      </c>
      <c r="Q32" s="14" t="e">
        <f>IF(#REF!="Ag",1,R32)</f>
        <v>#REF!</v>
      </c>
      <c r="R32" s="14" t="e">
        <f>IF(#REF!="Al",1.28,S32)</f>
        <v>#REF!</v>
      </c>
      <c r="S32" s="14" t="e">
        <f>IF(#REF!="Au",1.19,T32)</f>
        <v>#REF!</v>
      </c>
      <c r="T32" s="14" t="e">
        <f>IF(#REF!="SS",7.27,U32)</f>
        <v>#REF!</v>
      </c>
      <c r="U32" s="14" t="e">
        <f>IF(#REF!="Ni",1.99,V32)</f>
        <v>#REF!</v>
      </c>
      <c r="V32" s="14" t="e">
        <f>IF(#REF!="Rh",1.65,W32)</f>
        <v>#REF!</v>
      </c>
      <c r="W32" s="14" t="e">
        <f>IF(#REF!="bronze",2.33,X32)</f>
        <v>#REF!</v>
      </c>
      <c r="X32" s="14">
        <v>0</v>
      </c>
    </row>
    <row r="33" spans="1:24" s="14" customFormat="1" x14ac:dyDescent="0.25">
      <c r="A33" s="1"/>
      <c r="B33" s="48"/>
      <c r="C33" s="21" t="e">
        <f t="shared" si="0"/>
        <v>#DIV/0!</v>
      </c>
      <c r="D33" s="15">
        <f>IF(A33=42,0.42,0)+IF(A33=28,0.28,0)+IF(A33=22,0.224,0)+IF(A33=19,0.188,0)+IF(A33=15,0.148,0)+IF(A33=12,0.122,0)+IF(A33=10,0.1,0)+IF(A33=8,0.08,0)+IF(A33=7,0.065,0)+IF(A33=6,0.065,0)+IF(A33=5,0.051,0)+IF(A33=4,0.043,0)+IF(A33=3,0.034,0)</f>
        <v>0</v>
      </c>
      <c r="E33" s="15">
        <f t="shared" si="1"/>
        <v>0</v>
      </c>
      <c r="F33" s="16" t="e">
        <f>(2.99793/3)*15/(2.54*D33)</f>
        <v>#DIV/0!</v>
      </c>
      <c r="G33" s="17" t="e">
        <f>(29.9793/2.54)*(1/B33)</f>
        <v>#DIV/0!</v>
      </c>
      <c r="H33" s="17" t="e">
        <f t="shared" si="3"/>
        <v>#DIV/0!</v>
      </c>
      <c r="I33" s="15" t="e">
        <f t="shared" si="10"/>
        <v>#DIV/0!</v>
      </c>
      <c r="J33" s="17" t="e">
        <f t="shared" si="8"/>
        <v>#DIV/0!</v>
      </c>
      <c r="K33" s="40" t="e">
        <f t="shared" si="5"/>
        <v>#DIV/0!</v>
      </c>
      <c r="L33" s="56"/>
      <c r="M33" s="56"/>
      <c r="N33" s="16" t="e">
        <f t="shared" si="9"/>
        <v>#DIV/0!</v>
      </c>
      <c r="O33" s="14" t="e">
        <f>IF(#REF!=0,1,P33)</f>
        <v>#REF!</v>
      </c>
      <c r="P33" s="14" t="e">
        <f>IF(#REF!="Cu",1,Q33)</f>
        <v>#REF!</v>
      </c>
      <c r="Q33" s="14" t="e">
        <f>IF(#REF!="Ag",1,R33)</f>
        <v>#REF!</v>
      </c>
      <c r="R33" s="14" t="e">
        <f>IF(#REF!="Al",1.28,S33)</f>
        <v>#REF!</v>
      </c>
      <c r="S33" s="14" t="e">
        <f>IF(#REF!="Au",1.19,T33)</f>
        <v>#REF!</v>
      </c>
      <c r="T33" s="14" t="e">
        <f>IF(#REF!="SS",7.27,U33)</f>
        <v>#REF!</v>
      </c>
      <c r="U33" s="14" t="e">
        <f>IF(#REF!="Ni",1.99,V33)</f>
        <v>#REF!</v>
      </c>
      <c r="V33" s="14" t="e">
        <f>IF(#REF!="Rh",1.65,W33)</f>
        <v>#REF!</v>
      </c>
      <c r="W33" s="14" t="e">
        <f>IF(#REF!="bronze",2.33,X33)</f>
        <v>#REF!</v>
      </c>
      <c r="X33" s="14">
        <v>0</v>
      </c>
    </row>
    <row r="34" spans="1:24" s="14" customFormat="1" x14ac:dyDescent="0.25">
      <c r="A34" s="1"/>
      <c r="B34" s="48"/>
      <c r="C34" s="21" t="e">
        <f t="shared" si="0"/>
        <v>#DIV/0!</v>
      </c>
      <c r="D34" s="15">
        <f>IF(A34=42,0.42,0)+IF(A34=28,0.28,0)+IF(A34=22,0.224,0)+IF(A34=19,0.188,0)+IF(A34=15,0.148,0)+IF(A34=12,0.122,0)+IF(A34=10,0.1,0)+IF(A34=8,0.08,0)+IF(A34=7,0.065,0)+IF(A34=6,0.065,0)+IF(A34=5,0.051,0)+IF(A34=4,0.043,0)+IF(A34=3,0.034,0)</f>
        <v>0</v>
      </c>
      <c r="E34" s="15">
        <f t="shared" si="1"/>
        <v>0</v>
      </c>
      <c r="F34" s="16" t="e">
        <f>(2.99793/3)*15/(2.54*D34)</f>
        <v>#DIV/0!</v>
      </c>
      <c r="G34" s="17" t="e">
        <f>(29.9793/2.54)*(1/B34)</f>
        <v>#DIV/0!</v>
      </c>
      <c r="H34" s="17" t="e">
        <f t="shared" si="3"/>
        <v>#DIV/0!</v>
      </c>
      <c r="I34" s="15" t="e">
        <f t="shared" si="10"/>
        <v>#DIV/0!</v>
      </c>
      <c r="J34" s="17" t="e">
        <f t="shared" si="8"/>
        <v>#DIV/0!</v>
      </c>
      <c r="K34" s="40" t="e">
        <f t="shared" si="5"/>
        <v>#DIV/0!</v>
      </c>
      <c r="L34" s="56"/>
      <c r="M34" s="56"/>
      <c r="N34" s="16" t="e">
        <f t="shared" si="9"/>
        <v>#DIV/0!</v>
      </c>
      <c r="O34" s="14" t="e">
        <f>IF(#REF!=0,1,P34)</f>
        <v>#REF!</v>
      </c>
      <c r="P34" s="14" t="e">
        <f>IF(#REF!="Cu",1,Q34)</f>
        <v>#REF!</v>
      </c>
      <c r="Q34" s="14" t="e">
        <f>IF(#REF!="Ag",1,R34)</f>
        <v>#REF!</v>
      </c>
      <c r="R34" s="14" t="e">
        <f>IF(#REF!="Al",1.28,S34)</f>
        <v>#REF!</v>
      </c>
      <c r="S34" s="14" t="e">
        <f>IF(#REF!="Au",1.19,T34)</f>
        <v>#REF!</v>
      </c>
      <c r="T34" s="14" t="e">
        <f>IF(#REF!="SS",7.27,U34)</f>
        <v>#REF!</v>
      </c>
      <c r="U34" s="14" t="e">
        <f>IF(#REF!="Ni",1.99,V34)</f>
        <v>#REF!</v>
      </c>
      <c r="V34" s="14" t="e">
        <f>IF(#REF!="Rh",1.65,W34)</f>
        <v>#REF!</v>
      </c>
      <c r="W34" s="14" t="e">
        <f>IF(#REF!="bronze",2.33,X34)</f>
        <v>#REF!</v>
      </c>
      <c r="X34" s="14">
        <v>0</v>
      </c>
    </row>
    <row r="35" spans="1:24" s="14" customFormat="1" x14ac:dyDescent="0.25">
      <c r="A35" s="1"/>
      <c r="B35" s="48"/>
      <c r="C35" s="21" t="e">
        <f t="shared" si="0"/>
        <v>#DIV/0!</v>
      </c>
      <c r="D35" s="15">
        <f>IF(A35=42,0.42,0)+IF(A35=28,0.28,0)+IF(A35=22,0.224,0)+IF(A35=19,0.188,0)+IF(A35=15,0.148,0)+IF(A35=12,0.122,0)+IF(A35=10,0.1,0)+IF(A35=8,0.08,0)+IF(A35=7,0.065,0)+IF(A35=6,0.065,0)+IF(A35=5,0.051,0)+IF(A35=4,0.043,0)+IF(A35=3,0.034,0)</f>
        <v>0</v>
      </c>
      <c r="E35" s="15">
        <f t="shared" si="1"/>
        <v>0</v>
      </c>
      <c r="F35" s="16" t="e">
        <f>(2.99793/3)*15/(2.54*D35)</f>
        <v>#DIV/0!</v>
      </c>
      <c r="G35" s="17" t="e">
        <f>(29.9793/2.54)*(1/B35)</f>
        <v>#DIV/0!</v>
      </c>
      <c r="H35" s="17" t="e">
        <f t="shared" si="3"/>
        <v>#DIV/0!</v>
      </c>
      <c r="I35" s="15" t="e">
        <f t="shared" si="10"/>
        <v>#DIV/0!</v>
      </c>
      <c r="J35" s="17" t="e">
        <f t="shared" si="8"/>
        <v>#DIV/0!</v>
      </c>
      <c r="K35" s="40" t="e">
        <f t="shared" si="5"/>
        <v>#DIV/0!</v>
      </c>
      <c r="L35" s="56"/>
      <c r="M35" s="56"/>
      <c r="N35" s="16" t="e">
        <f t="shared" si="9"/>
        <v>#DIV/0!</v>
      </c>
      <c r="O35" s="14" t="e">
        <f>IF(#REF!=0,1,P35)</f>
        <v>#REF!</v>
      </c>
      <c r="P35" s="14" t="e">
        <f>IF(#REF!="Cu",1,Q35)</f>
        <v>#REF!</v>
      </c>
      <c r="Q35" s="14" t="e">
        <f>IF(#REF!="Ag",1,R35)</f>
        <v>#REF!</v>
      </c>
      <c r="R35" s="14" t="e">
        <f>IF(#REF!="Al",1.28,S35)</f>
        <v>#REF!</v>
      </c>
      <c r="S35" s="14" t="e">
        <f>IF(#REF!="Au",1.19,T35)</f>
        <v>#REF!</v>
      </c>
      <c r="T35" s="14" t="e">
        <f>IF(#REF!="SS",7.27,U35)</f>
        <v>#REF!</v>
      </c>
      <c r="U35" s="14" t="e">
        <f>IF(#REF!="Ni",1.99,V35)</f>
        <v>#REF!</v>
      </c>
      <c r="V35" s="14" t="e">
        <f>IF(#REF!="Rh",1.65,W35)</f>
        <v>#REF!</v>
      </c>
      <c r="W35" s="14" t="e">
        <f>IF(#REF!="bronze",2.33,X35)</f>
        <v>#REF!</v>
      </c>
      <c r="X35" s="14">
        <v>0</v>
      </c>
    </row>
    <row r="36" spans="1:24" s="14" customFormat="1" x14ac:dyDescent="0.25">
      <c r="A36" s="1"/>
      <c r="B36" s="48"/>
      <c r="C36" s="21" t="e">
        <f t="shared" si="0"/>
        <v>#DIV/0!</v>
      </c>
      <c r="D36" s="15">
        <f t="shared" si="6"/>
        <v>0</v>
      </c>
      <c r="E36" s="15">
        <f t="shared" si="1"/>
        <v>0</v>
      </c>
      <c r="F36" s="16" t="e">
        <f t="shared" si="7"/>
        <v>#DIV/0!</v>
      </c>
      <c r="G36" s="17" t="e">
        <f t="shared" si="2"/>
        <v>#DIV/0!</v>
      </c>
      <c r="H36" s="17" t="e">
        <f t="shared" si="3"/>
        <v>#DIV/0!</v>
      </c>
      <c r="I36" s="15" t="e">
        <f t="shared" si="10"/>
        <v>#DIV/0!</v>
      </c>
      <c r="J36" s="17" t="e">
        <f t="shared" si="8"/>
        <v>#DIV/0!</v>
      </c>
      <c r="K36" s="40" t="e">
        <f t="shared" si="5"/>
        <v>#DIV/0!</v>
      </c>
      <c r="L36" s="56"/>
      <c r="M36" s="56"/>
      <c r="N36" s="16" t="e">
        <f t="shared" si="9"/>
        <v>#DIV/0!</v>
      </c>
      <c r="O36" s="14" t="e">
        <f>IF(#REF!=0,1,P36)</f>
        <v>#REF!</v>
      </c>
      <c r="P36" s="14" t="e">
        <f>IF(#REF!="Cu",1,Q36)</f>
        <v>#REF!</v>
      </c>
      <c r="Q36" s="14" t="e">
        <f>IF(#REF!="Ag",1,R36)</f>
        <v>#REF!</v>
      </c>
      <c r="R36" s="14" t="e">
        <f>IF(#REF!="Al",1.28,S36)</f>
        <v>#REF!</v>
      </c>
      <c r="S36" s="14" t="e">
        <f>IF(#REF!="Au",1.19,T36)</f>
        <v>#REF!</v>
      </c>
      <c r="T36" s="14" t="e">
        <f>IF(#REF!="SS",7.27,U36)</f>
        <v>#REF!</v>
      </c>
      <c r="U36" s="14" t="e">
        <f>IF(#REF!="Ni",1.99,V36)</f>
        <v>#REF!</v>
      </c>
      <c r="V36" s="14" t="e">
        <f>IF(#REF!="Rh",1.65,W36)</f>
        <v>#REF!</v>
      </c>
      <c r="W36" s="14" t="e">
        <f>IF(#REF!="bronze",2.33,X36)</f>
        <v>#REF!</v>
      </c>
      <c r="X36" s="14">
        <v>0</v>
      </c>
    </row>
    <row r="37" spans="1:24" s="14" customFormat="1" x14ac:dyDescent="0.25">
      <c r="A37" s="1"/>
      <c r="B37" s="48"/>
      <c r="C37" s="21" t="e">
        <f t="shared" si="0"/>
        <v>#DIV/0!</v>
      </c>
      <c r="D37" s="15">
        <f t="shared" si="6"/>
        <v>0</v>
      </c>
      <c r="E37" s="15">
        <f t="shared" si="1"/>
        <v>0</v>
      </c>
      <c r="F37" s="16" t="e">
        <f t="shared" si="7"/>
        <v>#DIV/0!</v>
      </c>
      <c r="G37" s="17" t="e">
        <f t="shared" si="2"/>
        <v>#DIV/0!</v>
      </c>
      <c r="H37" s="17" t="e">
        <f t="shared" si="3"/>
        <v>#DIV/0!</v>
      </c>
      <c r="I37" s="15" t="e">
        <f t="shared" si="10"/>
        <v>#DIV/0!</v>
      </c>
      <c r="J37" s="17" t="e">
        <f t="shared" si="8"/>
        <v>#DIV/0!</v>
      </c>
      <c r="K37" s="40" t="e">
        <f t="shared" si="5"/>
        <v>#DIV/0!</v>
      </c>
      <c r="L37" s="56"/>
      <c r="M37" s="56"/>
      <c r="N37" s="16" t="e">
        <f t="shared" si="9"/>
        <v>#DIV/0!</v>
      </c>
      <c r="O37" s="14" t="e">
        <f>IF(#REF!=0,1,P37)</f>
        <v>#REF!</v>
      </c>
      <c r="P37" s="14" t="e">
        <f>IF(#REF!="Cu",1,Q37)</f>
        <v>#REF!</v>
      </c>
      <c r="Q37" s="14" t="e">
        <f>IF(#REF!="Ag",1,R37)</f>
        <v>#REF!</v>
      </c>
      <c r="R37" s="14" t="e">
        <f>IF(#REF!="Al",1.28,S37)</f>
        <v>#REF!</v>
      </c>
      <c r="S37" s="14" t="e">
        <f>IF(#REF!="Au",1.19,T37)</f>
        <v>#REF!</v>
      </c>
      <c r="T37" s="14" t="e">
        <f>IF(#REF!="SS",7.27,U37)</f>
        <v>#REF!</v>
      </c>
      <c r="U37" s="14" t="e">
        <f>IF(#REF!="Ni",1.99,V37)</f>
        <v>#REF!</v>
      </c>
      <c r="V37" s="14" t="e">
        <f>IF(#REF!="Rh",1.65,W37)</f>
        <v>#REF!</v>
      </c>
      <c r="W37" s="14" t="e">
        <f>IF(#REF!="bronze",2.33,X37)</f>
        <v>#REF!</v>
      </c>
      <c r="X37" s="14">
        <v>0</v>
      </c>
    </row>
    <row r="38" spans="1:24" s="14" customFormat="1" x14ac:dyDescent="0.25">
      <c r="A38" s="1"/>
      <c r="B38" s="48"/>
      <c r="C38" s="21" t="e">
        <f t="shared" si="0"/>
        <v>#DIV/0!</v>
      </c>
      <c r="D38" s="15">
        <f t="shared" si="6"/>
        <v>0</v>
      </c>
      <c r="E38" s="15">
        <f t="shared" si="1"/>
        <v>0</v>
      </c>
      <c r="F38" s="16" t="e">
        <f t="shared" si="7"/>
        <v>#DIV/0!</v>
      </c>
      <c r="G38" s="17" t="e">
        <f t="shared" si="2"/>
        <v>#DIV/0!</v>
      </c>
      <c r="H38" s="17" t="e">
        <f t="shared" si="3"/>
        <v>#DIV/0!</v>
      </c>
      <c r="I38" s="15" t="e">
        <f t="shared" si="10"/>
        <v>#DIV/0!</v>
      </c>
      <c r="J38" s="17" t="e">
        <f t="shared" si="8"/>
        <v>#DIV/0!</v>
      </c>
      <c r="K38" s="40" t="e">
        <f t="shared" si="5"/>
        <v>#DIV/0!</v>
      </c>
      <c r="L38" s="56"/>
      <c r="M38" s="56"/>
      <c r="N38" s="16" t="e">
        <f t="shared" si="9"/>
        <v>#DIV/0!</v>
      </c>
      <c r="O38" s="14" t="e">
        <f>IF(#REF!=0,1,P38)</f>
        <v>#REF!</v>
      </c>
      <c r="P38" s="14" t="e">
        <f>IF(#REF!="Cu",1,Q38)</f>
        <v>#REF!</v>
      </c>
      <c r="Q38" s="14" t="e">
        <f>IF(#REF!="Ag",1,R38)</f>
        <v>#REF!</v>
      </c>
      <c r="R38" s="14" t="e">
        <f>IF(#REF!="Al",1.28,S38)</f>
        <v>#REF!</v>
      </c>
      <c r="S38" s="14" t="e">
        <f>IF(#REF!="Au",1.19,T38)</f>
        <v>#REF!</v>
      </c>
      <c r="T38" s="14" t="e">
        <f>IF(#REF!="SS",7.27,U38)</f>
        <v>#REF!</v>
      </c>
      <c r="U38" s="14" t="e">
        <f>IF(#REF!="Ni",1.99,V38)</f>
        <v>#REF!</v>
      </c>
      <c r="V38" s="14" t="e">
        <f>IF(#REF!="Rh",1.65,W38)</f>
        <v>#REF!</v>
      </c>
      <c r="W38" s="14" t="e">
        <f>IF(#REF!="bronze",2.33,X38)</f>
        <v>#REF!</v>
      </c>
      <c r="X38" s="14">
        <v>0</v>
      </c>
    </row>
    <row r="39" spans="1:24" s="14" customFormat="1" x14ac:dyDescent="0.25">
      <c r="A39" s="1"/>
      <c r="B39" s="48"/>
      <c r="C39" s="21" t="e">
        <f t="shared" si="0"/>
        <v>#DIV/0!</v>
      </c>
      <c r="D39" s="15">
        <f t="shared" si="6"/>
        <v>0</v>
      </c>
      <c r="E39" s="15">
        <f t="shared" si="1"/>
        <v>0</v>
      </c>
      <c r="F39" s="16" t="e">
        <f t="shared" si="7"/>
        <v>#DIV/0!</v>
      </c>
      <c r="G39" s="17" t="e">
        <f t="shared" si="2"/>
        <v>#DIV/0!</v>
      </c>
      <c r="H39" s="17" t="e">
        <f t="shared" si="3"/>
        <v>#DIV/0!</v>
      </c>
      <c r="I39" s="15" t="e">
        <f t="shared" si="10"/>
        <v>#DIV/0!</v>
      </c>
      <c r="J39" s="17" t="e">
        <f t="shared" si="8"/>
        <v>#DIV/0!</v>
      </c>
      <c r="K39" s="40" t="e">
        <f t="shared" si="5"/>
        <v>#DIV/0!</v>
      </c>
      <c r="L39" s="56"/>
      <c r="M39" s="56"/>
      <c r="N39" s="16" t="e">
        <f t="shared" si="9"/>
        <v>#DIV/0!</v>
      </c>
      <c r="O39" s="14" t="e">
        <f>IF(#REF!=0,1,P39)</f>
        <v>#REF!</v>
      </c>
      <c r="P39" s="14" t="e">
        <f>IF(#REF!="Cu",1,Q39)</f>
        <v>#REF!</v>
      </c>
      <c r="Q39" s="14" t="e">
        <f>IF(#REF!="Ag",1,R39)</f>
        <v>#REF!</v>
      </c>
      <c r="R39" s="14" t="e">
        <f>IF(#REF!="Al",1.28,S39)</f>
        <v>#REF!</v>
      </c>
      <c r="S39" s="14" t="e">
        <f>IF(#REF!="Au",1.19,T39)</f>
        <v>#REF!</v>
      </c>
      <c r="T39" s="14" t="e">
        <f>IF(#REF!="SS",7.27,U39)</f>
        <v>#REF!</v>
      </c>
      <c r="U39" s="14" t="e">
        <f>IF(#REF!="Ni",1.99,V39)</f>
        <v>#REF!</v>
      </c>
      <c r="V39" s="14" t="e">
        <f>IF(#REF!="Rh",1.65,W39)</f>
        <v>#REF!</v>
      </c>
      <c r="W39" s="14" t="e">
        <f>IF(#REF!="bronze",2.33,X39)</f>
        <v>#REF!</v>
      </c>
      <c r="X39" s="14">
        <v>0</v>
      </c>
    </row>
    <row r="40" spans="1:24" s="14" customFormat="1" x14ac:dyDescent="0.25">
      <c r="A40" s="1"/>
      <c r="B40" s="48"/>
      <c r="C40" s="21" t="e">
        <f t="shared" si="0"/>
        <v>#DIV/0!</v>
      </c>
      <c r="D40" s="15">
        <f>IF(A40=42,0.42,0)+IF(A40=28,0.28,0)+IF(A40=22,0.224,0)+IF(A40=19,0.188,0)+IF(A40=15,0.148,0)+IF(A40=12,0.122,0)+IF(A40=10,0.1,0)+IF(A40=8,0.08,0)+IF(A40=7,0.065,0)+IF(A40=6,0.065,0)+IF(A40=5,0.051,0)+IF(A40=4,0.043,0)+IF(A40=3,0.034,0)</f>
        <v>0</v>
      </c>
      <c r="E40" s="15">
        <f t="shared" si="1"/>
        <v>0</v>
      </c>
      <c r="F40" s="16" t="e">
        <f>(2.99793/3)*15/(2.54*D40)</f>
        <v>#DIV/0!</v>
      </c>
      <c r="G40" s="17" t="e">
        <f>(29.9793/2.54)*(1/B40)</f>
        <v>#DIV/0!</v>
      </c>
      <c r="H40" s="17" t="e">
        <f t="shared" si="3"/>
        <v>#DIV/0!</v>
      </c>
      <c r="I40" s="15" t="e">
        <f t="shared" si="10"/>
        <v>#DIV/0!</v>
      </c>
      <c r="J40" s="17" t="e">
        <f t="shared" si="8"/>
        <v>#DIV/0!</v>
      </c>
      <c r="K40" s="40" t="e">
        <f t="shared" si="5"/>
        <v>#DIV/0!</v>
      </c>
      <c r="L40" s="56"/>
      <c r="M40" s="56"/>
      <c r="N40" s="16" t="e">
        <f t="shared" si="9"/>
        <v>#DIV/0!</v>
      </c>
      <c r="O40" s="14" t="e">
        <f>IF(#REF!=0,1,P40)</f>
        <v>#REF!</v>
      </c>
      <c r="P40" s="14" t="e">
        <f>IF(#REF!="Cu",1,Q40)</f>
        <v>#REF!</v>
      </c>
      <c r="Q40" s="14" t="e">
        <f>IF(#REF!="Ag",1,R40)</f>
        <v>#REF!</v>
      </c>
      <c r="R40" s="14" t="e">
        <f>IF(#REF!="Al",1.28,S40)</f>
        <v>#REF!</v>
      </c>
      <c r="S40" s="14" t="e">
        <f>IF(#REF!="Au",1.19,T40)</f>
        <v>#REF!</v>
      </c>
      <c r="T40" s="14" t="e">
        <f>IF(#REF!="SS",7.27,U40)</f>
        <v>#REF!</v>
      </c>
      <c r="U40" s="14" t="e">
        <f>IF(#REF!="Ni",1.99,V40)</f>
        <v>#REF!</v>
      </c>
      <c r="V40" s="14" t="e">
        <f>IF(#REF!="Rh",1.65,W40)</f>
        <v>#REF!</v>
      </c>
      <c r="W40" s="14" t="e">
        <f>IF(#REF!="bronze",2.33,X40)</f>
        <v>#REF!</v>
      </c>
      <c r="X40" s="14">
        <v>0</v>
      </c>
    </row>
    <row r="41" spans="1:24" s="14" customFormat="1" x14ac:dyDescent="0.25">
      <c r="A41" s="1"/>
      <c r="B41" s="48"/>
      <c r="C41" s="23" t="e">
        <f t="shared" si="0"/>
        <v>#DIV/0!</v>
      </c>
      <c r="D41" s="24">
        <f t="shared" si="6"/>
        <v>0</v>
      </c>
      <c r="E41" s="24">
        <f t="shared" si="1"/>
        <v>0</v>
      </c>
      <c r="F41" s="25" t="e">
        <f t="shared" si="7"/>
        <v>#DIV/0!</v>
      </c>
      <c r="G41" s="26" t="e">
        <f t="shared" si="2"/>
        <v>#DIV/0!</v>
      </c>
      <c r="H41" s="26" t="e">
        <f t="shared" si="3"/>
        <v>#DIV/0!</v>
      </c>
      <c r="I41" s="15" t="e">
        <f t="shared" si="10"/>
        <v>#DIV/0!</v>
      </c>
      <c r="J41" s="17" t="e">
        <f t="shared" si="8"/>
        <v>#DIV/0!</v>
      </c>
      <c r="K41" s="40" t="e">
        <f t="shared" si="5"/>
        <v>#DIV/0!</v>
      </c>
      <c r="L41" s="56"/>
      <c r="M41" s="56"/>
      <c r="N41" s="16" t="e">
        <f t="shared" si="9"/>
        <v>#DIV/0!</v>
      </c>
      <c r="O41" s="14" t="e">
        <f>IF(#REF!=0,1,P41)</f>
        <v>#REF!</v>
      </c>
      <c r="P41" s="14" t="e">
        <f>IF(#REF!="Cu",1,Q41)</f>
        <v>#REF!</v>
      </c>
      <c r="Q41" s="14" t="e">
        <f>IF(#REF!="Ag",1,R41)</f>
        <v>#REF!</v>
      </c>
      <c r="R41" s="14" t="e">
        <f>IF(#REF!="Al",1.28,S41)</f>
        <v>#REF!</v>
      </c>
      <c r="S41" s="14" t="e">
        <f>IF(#REF!="Au",1.19,T41)</f>
        <v>#REF!</v>
      </c>
      <c r="T41" s="14" t="e">
        <f>IF(#REF!="SS",7.27,U41)</f>
        <v>#REF!</v>
      </c>
      <c r="U41" s="14" t="e">
        <f>IF(#REF!="Ni",1.99,V41)</f>
        <v>#REF!</v>
      </c>
      <c r="V41" s="14" t="e">
        <f>IF(#REF!="Rh",1.65,W41)</f>
        <v>#REF!</v>
      </c>
      <c r="W41" s="14" t="e">
        <f>IF(#REF!="bronze",2.33,X41)</f>
        <v>#REF!</v>
      </c>
      <c r="X41" s="14">
        <v>0</v>
      </c>
    </row>
    <row r="42" spans="1:24" s="28" customFormat="1" x14ac:dyDescent="0.25">
      <c r="A42" s="27"/>
      <c r="B42" s="49"/>
      <c r="D42" s="29"/>
      <c r="E42" s="29"/>
      <c r="F42" s="30"/>
      <c r="G42" s="31"/>
      <c r="H42" s="31"/>
      <c r="I42" s="31"/>
      <c r="J42" s="31"/>
      <c r="K42" s="31"/>
      <c r="L42" s="30"/>
      <c r="M42" s="30"/>
      <c r="N42" s="30"/>
    </row>
    <row r="43" spans="1:24" s="14" customFormat="1" x14ac:dyDescent="0.25">
      <c r="A43" s="58" t="s">
        <v>21</v>
      </c>
      <c r="B43" s="47"/>
      <c r="C43" s="10"/>
      <c r="D43" s="11"/>
      <c r="E43" s="11"/>
      <c r="F43" s="13"/>
      <c r="G43" s="12"/>
      <c r="H43" s="12"/>
      <c r="I43" s="32"/>
      <c r="J43" s="32"/>
      <c r="K43" s="32"/>
      <c r="L43" s="55"/>
      <c r="M43" s="55"/>
      <c r="N43" s="55"/>
    </row>
    <row r="44" spans="1:24" s="14" customFormat="1" x14ac:dyDescent="0.25">
      <c r="A44" s="59"/>
      <c r="B44" s="48">
        <v>59</v>
      </c>
      <c r="C44" s="21" t="str">
        <f t="shared" ref="C44:C54" si="11">IF(B44&gt;2*F44,"yes","no")</f>
        <v>no</v>
      </c>
      <c r="D44" s="22">
        <v>0.14799999999999999</v>
      </c>
      <c r="E44" s="22">
        <v>0.29599999999999999</v>
      </c>
      <c r="F44" s="16">
        <f t="shared" ref="F44:F54" si="12">(2.99793/3)*15/(2.54*D44)</f>
        <v>39.874574377527139</v>
      </c>
      <c r="G44" s="17">
        <f t="shared" si="2"/>
        <v>0.20004871213132255</v>
      </c>
      <c r="H44" s="17">
        <f t="shared" ref="H44:H54" si="13">G44/(1-(F44/B44)^2)^0.5</f>
        <v>0.27141878593302782</v>
      </c>
      <c r="I44" s="15">
        <f t="shared" ref="I44:I54" si="14">0.2998*(1-(F44/B44)^2)^0.5</f>
        <v>0.22096703325380412</v>
      </c>
      <c r="J44" s="17">
        <f t="shared" ref="J44:J54" si="15">1/I44</f>
        <v>4.5255619595136336</v>
      </c>
      <c r="K44" s="40">
        <f t="shared" ref="K44:K54" si="16">-0.01*((2.998)^2)*(F44^2)/(((I44)^3)*B44^3)</f>
        <v>-6.4493639921028176E-2</v>
      </c>
      <c r="L44" s="56"/>
      <c r="M44" s="56"/>
      <c r="N44" s="16">
        <f t="shared" ref="N44:N54" si="17">180*K44*L44*M44^2</f>
        <v>0</v>
      </c>
      <c r="O44" s="14" t="e">
        <f>IF(#REF!=0,1,P44)</f>
        <v>#REF!</v>
      </c>
      <c r="P44" s="14" t="e">
        <f>IF(#REF!="Cu",1,Q44)</f>
        <v>#REF!</v>
      </c>
      <c r="Q44" s="14" t="e">
        <f>IF(#REF!="Ag",1,R44)</f>
        <v>#REF!</v>
      </c>
      <c r="R44" s="14" t="e">
        <f>IF(#REF!="Al",1.28,S44)</f>
        <v>#REF!</v>
      </c>
      <c r="S44" s="14" t="e">
        <f>IF(#REF!="Au",1.19,T44)</f>
        <v>#REF!</v>
      </c>
      <c r="T44" s="14" t="e">
        <f>IF(#REF!="SS",7.27,U44)</f>
        <v>#REF!</v>
      </c>
      <c r="U44" s="14" t="e">
        <f>IF(#REF!="Ni",1.99,V44)</f>
        <v>#REF!</v>
      </c>
      <c r="V44" s="14" t="e">
        <f>IF(#REF!="Rh",1.65,W44)</f>
        <v>#REF!</v>
      </c>
      <c r="W44" s="14" t="e">
        <f>IF(#REF!="bronze",2.33,X44)</f>
        <v>#REF!</v>
      </c>
      <c r="X44" s="14">
        <v>0</v>
      </c>
    </row>
    <row r="45" spans="1:24" s="14" customFormat="1" x14ac:dyDescent="0.25">
      <c r="A45" s="59"/>
      <c r="B45" s="48">
        <f>0.2+B44</f>
        <v>59.2</v>
      </c>
      <c r="C45" s="21" t="str">
        <f t="shared" si="11"/>
        <v>no</v>
      </c>
      <c r="D45" s="22">
        <v>0.14799999999999999</v>
      </c>
      <c r="E45" s="22">
        <v>0.29599999999999999</v>
      </c>
      <c r="F45" s="16">
        <f t="shared" si="12"/>
        <v>39.874574377527139</v>
      </c>
      <c r="G45" s="17">
        <f t="shared" si="2"/>
        <v>0.19937287188763564</v>
      </c>
      <c r="H45" s="17">
        <f t="shared" si="13"/>
        <v>0.2697379981248057</v>
      </c>
      <c r="I45" s="15">
        <f t="shared" si="14"/>
        <v>0.22159275818550833</v>
      </c>
      <c r="J45" s="17">
        <f t="shared" si="15"/>
        <v>4.51278285530812</v>
      </c>
      <c r="K45" s="40">
        <f t="shared" si="16"/>
        <v>-6.3302894441528715E-2</v>
      </c>
      <c r="L45" s="56"/>
      <c r="M45" s="56"/>
      <c r="N45" s="16">
        <f t="shared" si="17"/>
        <v>0</v>
      </c>
      <c r="O45" s="14" t="e">
        <f>IF(#REF!=0,1,P45)</f>
        <v>#REF!</v>
      </c>
      <c r="P45" s="14" t="e">
        <f>IF(#REF!="Cu",1,Q45)</f>
        <v>#REF!</v>
      </c>
      <c r="Q45" s="14" t="e">
        <f>IF(#REF!="Ag",1,R45)</f>
        <v>#REF!</v>
      </c>
      <c r="R45" s="14" t="e">
        <f>IF(#REF!="Al",1.28,S45)</f>
        <v>#REF!</v>
      </c>
      <c r="S45" s="14" t="e">
        <f>IF(#REF!="Au",1.19,T45)</f>
        <v>#REF!</v>
      </c>
      <c r="T45" s="14" t="e">
        <f>IF(#REF!="SS",7.27,U45)</f>
        <v>#REF!</v>
      </c>
      <c r="U45" s="14" t="e">
        <f>IF(#REF!="Ni",1.99,V45)</f>
        <v>#REF!</v>
      </c>
      <c r="V45" s="14" t="e">
        <f>IF(#REF!="Rh",1.65,W45)</f>
        <v>#REF!</v>
      </c>
      <c r="W45" s="14" t="e">
        <f>IF(#REF!="bronze",2.33,X45)</f>
        <v>#REF!</v>
      </c>
      <c r="X45" s="14">
        <v>0</v>
      </c>
    </row>
    <row r="46" spans="1:24" s="14" customFormat="1" x14ac:dyDescent="0.25">
      <c r="A46" s="59"/>
      <c r="B46" s="48">
        <f t="shared" ref="B46:B52" si="18">0.2+B45</f>
        <v>59.400000000000006</v>
      </c>
      <c r="C46" s="21" t="str">
        <f t="shared" si="11"/>
        <v>no</v>
      </c>
      <c r="D46" s="22">
        <v>0.14799999999999999</v>
      </c>
      <c r="E46" s="22">
        <v>0.29599999999999999</v>
      </c>
      <c r="F46" s="16">
        <f t="shared" si="12"/>
        <v>39.874574377527139</v>
      </c>
      <c r="G46" s="17">
        <f t="shared" si="2"/>
        <v>0.19870158275670086</v>
      </c>
      <c r="H46" s="17">
        <f t="shared" si="13"/>
        <v>0.26808252157443668</v>
      </c>
      <c r="I46" s="15">
        <f t="shared" si="14"/>
        <v>0.22221043789279007</v>
      </c>
      <c r="J46" s="17">
        <f t="shared" si="15"/>
        <v>4.5002386453262391</v>
      </c>
      <c r="K46" s="40">
        <f t="shared" si="16"/>
        <v>-6.2144497019455042E-2</v>
      </c>
      <c r="L46" s="56"/>
      <c r="M46" s="56"/>
      <c r="N46" s="16">
        <f t="shared" si="17"/>
        <v>0</v>
      </c>
      <c r="O46" s="14" t="e">
        <f>IF(#REF!=0,1,P46)</f>
        <v>#REF!</v>
      </c>
      <c r="P46" s="14" t="e">
        <f>IF(#REF!="Cu",1,Q46)</f>
        <v>#REF!</v>
      </c>
      <c r="Q46" s="14" t="e">
        <f>IF(#REF!="Ag",1,R46)</f>
        <v>#REF!</v>
      </c>
      <c r="R46" s="14" t="e">
        <f>IF(#REF!="Al",1.28,S46)</f>
        <v>#REF!</v>
      </c>
      <c r="S46" s="14" t="e">
        <f>IF(#REF!="Au",1.19,T46)</f>
        <v>#REF!</v>
      </c>
      <c r="T46" s="14" t="e">
        <f>IF(#REF!="SS",7.27,U46)</f>
        <v>#REF!</v>
      </c>
      <c r="U46" s="14" t="e">
        <f>IF(#REF!="Ni",1.99,V46)</f>
        <v>#REF!</v>
      </c>
      <c r="V46" s="14" t="e">
        <f>IF(#REF!="Rh",1.65,W46)</f>
        <v>#REF!</v>
      </c>
      <c r="W46" s="14" t="e">
        <f>IF(#REF!="bronze",2.33,X46)</f>
        <v>#REF!</v>
      </c>
      <c r="X46" s="14">
        <v>0</v>
      </c>
    </row>
    <row r="47" spans="1:24" s="14" customFormat="1" x14ac:dyDescent="0.25">
      <c r="A47" s="59"/>
      <c r="B47" s="48">
        <f t="shared" si="18"/>
        <v>59.600000000000009</v>
      </c>
      <c r="C47" s="21" t="str">
        <f t="shared" si="11"/>
        <v>no</v>
      </c>
      <c r="D47" s="22">
        <v>0.14799999999999999</v>
      </c>
      <c r="E47" s="22">
        <v>0.29599999999999999</v>
      </c>
      <c r="F47" s="16">
        <f t="shared" si="12"/>
        <v>39.874574377527139</v>
      </c>
      <c r="G47" s="17">
        <f t="shared" si="2"/>
        <v>0.19803479892194681</v>
      </c>
      <c r="H47" s="17">
        <f t="shared" si="13"/>
        <v>0.26645172440192905</v>
      </c>
      <c r="I47" s="15">
        <f t="shared" si="14"/>
        <v>0.22282022325080447</v>
      </c>
      <c r="J47" s="17">
        <f t="shared" si="15"/>
        <v>4.4879229784919872</v>
      </c>
      <c r="K47" s="40">
        <f t="shared" si="16"/>
        <v>-6.1017271513079271E-2</v>
      </c>
      <c r="L47" s="56"/>
      <c r="M47" s="56"/>
      <c r="N47" s="16">
        <f t="shared" si="17"/>
        <v>0</v>
      </c>
      <c r="O47" s="14" t="e">
        <f>IF(#REF!=0,1,P47)</f>
        <v>#REF!</v>
      </c>
      <c r="P47" s="14" t="e">
        <f>IF(#REF!="Cu",1,Q47)</f>
        <v>#REF!</v>
      </c>
      <c r="Q47" s="14" t="e">
        <f>IF(#REF!="Ag",1,R47)</f>
        <v>#REF!</v>
      </c>
      <c r="R47" s="14" t="e">
        <f>IF(#REF!="Al",1.28,S47)</f>
        <v>#REF!</v>
      </c>
      <c r="S47" s="14" t="e">
        <f>IF(#REF!="Au",1.19,T47)</f>
        <v>#REF!</v>
      </c>
      <c r="T47" s="14" t="e">
        <f>IF(#REF!="SS",7.27,U47)</f>
        <v>#REF!</v>
      </c>
      <c r="U47" s="14" t="e">
        <f>IF(#REF!="Ni",1.99,V47)</f>
        <v>#REF!</v>
      </c>
      <c r="V47" s="14" t="e">
        <f>IF(#REF!="Rh",1.65,W47)</f>
        <v>#REF!</v>
      </c>
      <c r="W47" s="14" t="e">
        <f>IF(#REF!="bronze",2.33,X47)</f>
        <v>#REF!</v>
      </c>
      <c r="X47" s="14">
        <v>0</v>
      </c>
    </row>
    <row r="48" spans="1:24" s="14" customFormat="1" x14ac:dyDescent="0.25">
      <c r="A48" s="59"/>
      <c r="B48" s="48">
        <f t="shared" si="18"/>
        <v>59.800000000000011</v>
      </c>
      <c r="C48" s="21" t="str">
        <f t="shared" si="11"/>
        <v>no</v>
      </c>
      <c r="D48" s="22">
        <v>0.14799999999999999</v>
      </c>
      <c r="E48" s="22">
        <v>0.29599999999999999</v>
      </c>
      <c r="F48" s="16">
        <f t="shared" si="12"/>
        <v>39.874574377527139</v>
      </c>
      <c r="G48" s="17">
        <f t="shared" ref="G48:G54" si="19">(29.9793/2.54)*(1/B48)</f>
        <v>0.19737247517973291</v>
      </c>
      <c r="H48" s="17">
        <f t="shared" si="13"/>
        <v>0.26484499677853907</v>
      </c>
      <c r="I48" s="15">
        <f t="shared" si="14"/>
        <v>0.22342226124197179</v>
      </c>
      <c r="J48" s="17">
        <f t="shared" si="15"/>
        <v>4.4758297335330228</v>
      </c>
      <c r="K48" s="40">
        <f t="shared" si="16"/>
        <v>-5.9920095518493408E-2</v>
      </c>
      <c r="L48" s="56"/>
      <c r="M48" s="56"/>
      <c r="N48" s="16">
        <f t="shared" si="17"/>
        <v>0</v>
      </c>
      <c r="O48" s="14" t="e">
        <f>IF(#REF!=0,1,P48)</f>
        <v>#REF!</v>
      </c>
      <c r="P48" s="14" t="e">
        <f>IF(#REF!="Cu",1,Q48)</f>
        <v>#REF!</v>
      </c>
      <c r="Q48" s="14" t="e">
        <f>IF(#REF!="Ag",1,R48)</f>
        <v>#REF!</v>
      </c>
      <c r="R48" s="14" t="e">
        <f>IF(#REF!="Al",1.28,S48)</f>
        <v>#REF!</v>
      </c>
      <c r="S48" s="14" t="e">
        <f>IF(#REF!="Au",1.19,T48)</f>
        <v>#REF!</v>
      </c>
      <c r="T48" s="14" t="e">
        <f>IF(#REF!="SS",7.27,U48)</f>
        <v>#REF!</v>
      </c>
      <c r="U48" s="14" t="e">
        <f>IF(#REF!="Ni",1.99,V48)</f>
        <v>#REF!</v>
      </c>
      <c r="V48" s="14" t="e">
        <f>IF(#REF!="Rh",1.65,W48)</f>
        <v>#REF!</v>
      </c>
      <c r="W48" s="14" t="e">
        <f>IF(#REF!="bronze",2.33,X48)</f>
        <v>#REF!</v>
      </c>
      <c r="X48" s="14">
        <v>0</v>
      </c>
    </row>
    <row r="49" spans="1:24" s="14" customFormat="1" x14ac:dyDescent="0.25">
      <c r="A49" s="59"/>
      <c r="B49" s="48">
        <f t="shared" si="18"/>
        <v>60.000000000000014</v>
      </c>
      <c r="C49" s="21" t="str">
        <f t="shared" si="11"/>
        <v>no</v>
      </c>
      <c r="D49" s="22">
        <v>0.14799999999999999</v>
      </c>
      <c r="E49" s="22">
        <v>0.29599999999999999</v>
      </c>
      <c r="F49" s="16">
        <f t="shared" si="12"/>
        <v>39.874574377527139</v>
      </c>
      <c r="G49" s="17">
        <f t="shared" si="19"/>
        <v>0.19671456692913381</v>
      </c>
      <c r="H49" s="17">
        <f t="shared" si="13"/>
        <v>0.26326174994303081</v>
      </c>
      <c r="I49" s="15">
        <f t="shared" si="14"/>
        <v>0.22401669508812566</v>
      </c>
      <c r="J49" s="17">
        <f t="shared" si="15"/>
        <v>4.4639530085318473</v>
      </c>
      <c r="K49" s="40">
        <f t="shared" si="16"/>
        <v>-5.8851897414955223E-2</v>
      </c>
      <c r="L49" s="56"/>
      <c r="M49" s="56"/>
      <c r="N49" s="16">
        <f t="shared" si="17"/>
        <v>0</v>
      </c>
      <c r="O49" s="14" t="e">
        <f>IF(#REF!=0,1,P49)</f>
        <v>#REF!</v>
      </c>
      <c r="P49" s="14" t="e">
        <f>IF(#REF!="Cu",1,Q49)</f>
        <v>#REF!</v>
      </c>
      <c r="Q49" s="14" t="e">
        <f>IF(#REF!="Ag",1,R49)</f>
        <v>#REF!</v>
      </c>
      <c r="R49" s="14" t="e">
        <f>IF(#REF!="Al",1.28,S49)</f>
        <v>#REF!</v>
      </c>
      <c r="S49" s="14" t="e">
        <f>IF(#REF!="Au",1.19,T49)</f>
        <v>#REF!</v>
      </c>
      <c r="T49" s="14" t="e">
        <f>IF(#REF!="SS",7.27,U49)</f>
        <v>#REF!</v>
      </c>
      <c r="U49" s="14" t="e">
        <f>IF(#REF!="Ni",1.99,V49)</f>
        <v>#REF!</v>
      </c>
      <c r="V49" s="14" t="e">
        <f>IF(#REF!="Rh",1.65,W49)</f>
        <v>#REF!</v>
      </c>
      <c r="W49" s="14" t="e">
        <f>IF(#REF!="bronze",2.33,X49)</f>
        <v>#REF!</v>
      </c>
      <c r="X49" s="14">
        <v>0</v>
      </c>
    </row>
    <row r="50" spans="1:24" s="14" customFormat="1" x14ac:dyDescent="0.25">
      <c r="A50" s="59"/>
      <c r="B50" s="48">
        <f t="shared" si="18"/>
        <v>60.200000000000017</v>
      </c>
      <c r="C50" s="21" t="str">
        <f t="shared" si="11"/>
        <v>no</v>
      </c>
      <c r="D50" s="22">
        <v>0.14799999999999999</v>
      </c>
      <c r="E50" s="22">
        <v>0.29599999999999999</v>
      </c>
      <c r="F50" s="16">
        <f t="shared" si="12"/>
        <v>39.874574377527139</v>
      </c>
      <c r="G50" s="17">
        <f t="shared" si="19"/>
        <v>0.19606103016192736</v>
      </c>
      <c r="H50" s="17">
        <f t="shared" si="13"/>
        <v>0.26170141527115148</v>
      </c>
      <c r="I50" s="15">
        <f t="shared" si="14"/>
        <v>0.22460366437699314</v>
      </c>
      <c r="J50" s="17">
        <f t="shared" si="15"/>
        <v>4.4522871110487241</v>
      </c>
      <c r="K50" s="40">
        <f t="shared" si="16"/>
        <v>-5.7811653599808804E-2</v>
      </c>
      <c r="L50" s="56"/>
      <c r="M50" s="56"/>
      <c r="N50" s="16">
        <f t="shared" si="17"/>
        <v>0</v>
      </c>
      <c r="O50" s="14" t="e">
        <f>IF(#REF!=0,1,P50)</f>
        <v>#REF!</v>
      </c>
      <c r="P50" s="14" t="e">
        <f>IF(#REF!="Cu",1,Q50)</f>
        <v>#REF!</v>
      </c>
      <c r="Q50" s="14" t="e">
        <f>IF(#REF!="Ag",1,R50)</f>
        <v>#REF!</v>
      </c>
      <c r="R50" s="14" t="e">
        <f>IF(#REF!="Al",1.28,S50)</f>
        <v>#REF!</v>
      </c>
      <c r="S50" s="14" t="e">
        <f>IF(#REF!="Au",1.19,T50)</f>
        <v>#REF!</v>
      </c>
      <c r="T50" s="14" t="e">
        <f>IF(#REF!="SS",7.27,U50)</f>
        <v>#REF!</v>
      </c>
      <c r="U50" s="14" t="e">
        <f>IF(#REF!="Ni",1.99,V50)</f>
        <v>#REF!</v>
      </c>
      <c r="V50" s="14" t="e">
        <f>IF(#REF!="Rh",1.65,W50)</f>
        <v>#REF!</v>
      </c>
      <c r="W50" s="14" t="e">
        <f>IF(#REF!="bronze",2.33,X50)</f>
        <v>#REF!</v>
      </c>
      <c r="X50" s="14">
        <v>0</v>
      </c>
    </row>
    <row r="51" spans="1:24" s="14" customFormat="1" x14ac:dyDescent="0.25">
      <c r="A51" s="59"/>
      <c r="B51" s="48">
        <f t="shared" si="18"/>
        <v>60.40000000000002</v>
      </c>
      <c r="C51" s="21" t="str">
        <f t="shared" si="11"/>
        <v>no</v>
      </c>
      <c r="D51" s="22">
        <v>0.14799999999999999</v>
      </c>
      <c r="E51" s="22">
        <v>0.29599999999999999</v>
      </c>
      <c r="F51" s="16">
        <f t="shared" si="12"/>
        <v>39.874574377527139</v>
      </c>
      <c r="G51" s="17">
        <f t="shared" si="19"/>
        <v>0.19541182145278191</v>
      </c>
      <c r="H51" s="17">
        <f t="shared" si="13"/>
        <v>0.26016344339494984</v>
      </c>
      <c r="I51" s="15">
        <f t="shared" si="14"/>
        <v>0.22518330518330318</v>
      </c>
      <c r="J51" s="17">
        <f t="shared" si="15"/>
        <v>4.4408265487798149</v>
      </c>
      <c r="K51" s="40">
        <f t="shared" si="16"/>
        <v>-5.6798385899103333E-2</v>
      </c>
      <c r="L51" s="56"/>
      <c r="M51" s="56"/>
      <c r="N51" s="16">
        <f t="shared" si="17"/>
        <v>0</v>
      </c>
      <c r="O51" s="14" t="e">
        <f>IF(#REF!=0,1,P51)</f>
        <v>#REF!</v>
      </c>
      <c r="P51" s="14" t="e">
        <f>IF(#REF!="Cu",1,Q51)</f>
        <v>#REF!</v>
      </c>
      <c r="Q51" s="14" t="e">
        <f>IF(#REF!="Ag",1,R51)</f>
        <v>#REF!</v>
      </c>
      <c r="R51" s="14" t="e">
        <f>IF(#REF!="Al",1.28,S51)</f>
        <v>#REF!</v>
      </c>
      <c r="S51" s="14" t="e">
        <f>IF(#REF!="Au",1.19,T51)</f>
        <v>#REF!</v>
      </c>
      <c r="T51" s="14" t="e">
        <f>IF(#REF!="SS",7.27,U51)</f>
        <v>#REF!</v>
      </c>
      <c r="U51" s="14" t="e">
        <f>IF(#REF!="Ni",1.99,V51)</f>
        <v>#REF!</v>
      </c>
      <c r="V51" s="14" t="e">
        <f>IF(#REF!="Rh",1.65,W51)</f>
        <v>#REF!</v>
      </c>
      <c r="W51" s="14" t="e">
        <f>IF(#REF!="bronze",2.33,X51)</f>
        <v>#REF!</v>
      </c>
      <c r="X51" s="14">
        <v>0</v>
      </c>
    </row>
    <row r="52" spans="1:24" s="14" customFormat="1" x14ac:dyDescent="0.25">
      <c r="A52" s="59"/>
      <c r="B52" s="48">
        <f t="shared" si="18"/>
        <v>60.600000000000023</v>
      </c>
      <c r="C52" s="21" t="str">
        <f t="shared" si="11"/>
        <v>no</v>
      </c>
      <c r="D52" s="22">
        <v>0.14799999999999999</v>
      </c>
      <c r="E52" s="22">
        <v>0.29599999999999999</v>
      </c>
      <c r="F52" s="16">
        <f t="shared" si="12"/>
        <v>39.874574377527139</v>
      </c>
      <c r="G52" s="17">
        <f t="shared" si="19"/>
        <v>0.19476689794963742</v>
      </c>
      <c r="H52" s="17">
        <f t="shared" si="13"/>
        <v>0.25864730336880959</v>
      </c>
      <c r="I52" s="15">
        <f t="shared" si="14"/>
        <v>0.22575575018480054</v>
      </c>
      <c r="J52" s="17">
        <f t="shared" si="15"/>
        <v>4.4295660207166989</v>
      </c>
      <c r="K52" s="40">
        <f t="shared" si="16"/>
        <v>-5.58111591411736E-2</v>
      </c>
      <c r="L52" s="56"/>
      <c r="M52" s="56"/>
      <c r="N52" s="16">
        <f t="shared" si="17"/>
        <v>0</v>
      </c>
      <c r="O52" s="14" t="e">
        <f>IF(#REF!=0,1,P52)</f>
        <v>#REF!</v>
      </c>
      <c r="P52" s="14" t="e">
        <f>IF(#REF!="Cu",1,Q52)</f>
        <v>#REF!</v>
      </c>
      <c r="Q52" s="14" t="e">
        <f>IF(#REF!="Ag",1,R52)</f>
        <v>#REF!</v>
      </c>
      <c r="R52" s="14" t="e">
        <f>IF(#REF!="Al",1.28,S52)</f>
        <v>#REF!</v>
      </c>
      <c r="S52" s="14" t="e">
        <f>IF(#REF!="Au",1.19,T52)</f>
        <v>#REF!</v>
      </c>
      <c r="T52" s="14" t="e">
        <f>IF(#REF!="SS",7.27,U52)</f>
        <v>#REF!</v>
      </c>
      <c r="U52" s="14" t="e">
        <f>IF(#REF!="Ni",1.99,V52)</f>
        <v>#REF!</v>
      </c>
      <c r="V52" s="14" t="e">
        <f>IF(#REF!="Rh",1.65,W52)</f>
        <v>#REF!</v>
      </c>
      <c r="W52" s="14" t="e">
        <f>IF(#REF!="bronze",2.33,X52)</f>
        <v>#REF!</v>
      </c>
      <c r="X52" s="14">
        <v>0</v>
      </c>
    </row>
    <row r="53" spans="1:24" s="14" customFormat="1" x14ac:dyDescent="0.25">
      <c r="A53" s="59"/>
      <c r="B53" s="48">
        <f>0.2+B52</f>
        <v>60.800000000000026</v>
      </c>
      <c r="C53" s="21" t="str">
        <f t="shared" si="11"/>
        <v>no</v>
      </c>
      <c r="D53" s="22">
        <v>0.14799999999999999</v>
      </c>
      <c r="E53" s="22">
        <v>0.29599999999999999</v>
      </c>
      <c r="F53" s="16">
        <f>(2.99793/3)*15/(2.54*D53)</f>
        <v>39.874574377527139</v>
      </c>
      <c r="G53" s="17">
        <f>(29.9793/2.54)*(1/B53)</f>
        <v>0.19412621736427674</v>
      </c>
      <c r="H53" s="17">
        <f t="shared" si="13"/>
        <v>0.25715248187929457</v>
      </c>
      <c r="I53" s="15">
        <f t="shared" si="14"/>
        <v>0.22632112877342694</v>
      </c>
      <c r="J53" s="17">
        <f t="shared" si="15"/>
        <v>4.4185004087758557</v>
      </c>
      <c r="K53" s="40">
        <f t="shared" si="16"/>
        <v>-5.4849078881479996E-2</v>
      </c>
      <c r="L53" s="56"/>
      <c r="M53" s="56"/>
      <c r="N53" s="16">
        <f t="shared" si="17"/>
        <v>0</v>
      </c>
      <c r="O53" s="14" t="e">
        <f>IF(#REF!=0,1,P53)</f>
        <v>#REF!</v>
      </c>
      <c r="P53" s="14" t="e">
        <f>IF(#REF!="Cu",1,Q53)</f>
        <v>#REF!</v>
      </c>
      <c r="Q53" s="14" t="e">
        <f>IF(#REF!="Ag",1,R53)</f>
        <v>#REF!</v>
      </c>
      <c r="R53" s="14" t="e">
        <f>IF(#REF!="Al",1.28,S53)</f>
        <v>#REF!</v>
      </c>
      <c r="S53" s="14" t="e">
        <f>IF(#REF!="Au",1.19,T53)</f>
        <v>#REF!</v>
      </c>
      <c r="T53" s="14" t="e">
        <f>IF(#REF!="SS",7.27,U53)</f>
        <v>#REF!</v>
      </c>
      <c r="U53" s="14" t="e">
        <f>IF(#REF!="Ni",1.99,V53)</f>
        <v>#REF!</v>
      </c>
      <c r="V53" s="14" t="e">
        <f>IF(#REF!="Rh",1.65,W53)</f>
        <v>#REF!</v>
      </c>
      <c r="W53" s="14" t="e">
        <f>IF(#REF!="bronze",2.33,X53)</f>
        <v>#REF!</v>
      </c>
      <c r="X53" s="14">
        <v>0</v>
      </c>
    </row>
    <row r="54" spans="1:24" s="14" customFormat="1" x14ac:dyDescent="0.25">
      <c r="A54" s="59"/>
      <c r="B54" s="48">
        <v>61</v>
      </c>
      <c r="C54" s="21" t="str">
        <f t="shared" si="11"/>
        <v>no</v>
      </c>
      <c r="D54" s="22">
        <v>0.14799999999999999</v>
      </c>
      <c r="E54" s="22">
        <v>0.29599999999999999</v>
      </c>
      <c r="F54" s="16">
        <f t="shared" si="12"/>
        <v>39.874574377527139</v>
      </c>
      <c r="G54" s="17">
        <f t="shared" si="19"/>
        <v>0.1934897379630825</v>
      </c>
      <c r="H54" s="17">
        <f t="shared" si="13"/>
        <v>0.25567848249610947</v>
      </c>
      <c r="I54" s="15">
        <f t="shared" si="14"/>
        <v>0.22687956716191326</v>
      </c>
      <c r="J54" s="17">
        <f t="shared" si="15"/>
        <v>4.4076247698689723</v>
      </c>
      <c r="K54" s="40">
        <f t="shared" si="16"/>
        <v>-5.3911289267949289E-2</v>
      </c>
      <c r="L54" s="56"/>
      <c r="M54" s="56"/>
      <c r="N54" s="16">
        <f t="shared" si="17"/>
        <v>0</v>
      </c>
      <c r="O54" s="14" t="e">
        <f>IF(#REF!=0,1,P54)</f>
        <v>#REF!</v>
      </c>
      <c r="P54" s="14" t="e">
        <f>IF(#REF!="Cu",1,Q54)</f>
        <v>#REF!</v>
      </c>
      <c r="Q54" s="14" t="e">
        <f>IF(#REF!="Ag",1,R54)</f>
        <v>#REF!</v>
      </c>
      <c r="R54" s="14" t="e">
        <f>IF(#REF!="Al",1.28,S54)</f>
        <v>#REF!</v>
      </c>
      <c r="S54" s="14" t="e">
        <f>IF(#REF!="Au",1.19,T54)</f>
        <v>#REF!</v>
      </c>
      <c r="T54" s="14" t="e">
        <f>IF(#REF!="SS",7.27,U54)</f>
        <v>#REF!</v>
      </c>
      <c r="U54" s="14" t="e">
        <f>IF(#REF!="Ni",1.99,V54)</f>
        <v>#REF!</v>
      </c>
      <c r="V54" s="14" t="e">
        <f>IF(#REF!="Rh",1.65,W54)</f>
        <v>#REF!</v>
      </c>
      <c r="W54" s="14" t="e">
        <f>IF(#REF!="bronze",2.33,X54)</f>
        <v>#REF!</v>
      </c>
      <c r="X54" s="14">
        <v>0</v>
      </c>
    </row>
  </sheetData>
  <sheetProtection sheet="1" objects="1" scenarios="1" selectLockedCells="1"/>
  <phoneticPr fontId="10" type="noConversion"/>
  <pageMargins left="0.75" right="0.75" top="1" bottom="1" header="0.5" footer="0.5"/>
  <pageSetup scale="97" orientation="landscape" horizontalDpi="300" verticalDpi="300" r:id="rId1"/>
  <headerFooter alignWithMargins="0">
    <oddHeader xml:space="preserve">&amp;C&amp;"Arial,Bold"&amp;12Phase and Group Delay Calculator
</oddHeader>
    <oddFooter>&amp;RDesigned by: P. Chorney
08/30/01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1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1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Chorney</dc:creator>
  <cp:lastModifiedBy>Huettner, Steve (US)</cp:lastModifiedBy>
  <cp:lastPrinted>2001-08-29T22:18:32Z</cp:lastPrinted>
  <dcterms:created xsi:type="dcterms:W3CDTF">1999-05-27T05:39:04Z</dcterms:created>
  <dcterms:modified xsi:type="dcterms:W3CDTF">2021-08-06T19:58:19Z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78f443b-b434-4a74-8e06-267f84c31196_Enabled">
    <vt:lpwstr>True</vt:lpwstr>
  </property>
  <property fmtid="{D5CDD505-2E9C-101B-9397-08002B2CF9AE}" pid="3" name="MSIP_Label_878f443b-b434-4a74-8e06-267f84c31196_SiteId">
    <vt:lpwstr>10d6de58-a709-4821-a02c-4c46747e0059</vt:lpwstr>
  </property>
  <property fmtid="{D5CDD505-2E9C-101B-9397-08002B2CF9AE}" pid="4" name="MSIP_Label_878f443b-b434-4a74-8e06-267f84c31196_Owner">
    <vt:lpwstr>209040@cubic.com</vt:lpwstr>
  </property>
  <property fmtid="{D5CDD505-2E9C-101B-9397-08002B2CF9AE}" pid="5" name="MSIP_Label_878f443b-b434-4a74-8e06-267f84c31196_SetDate">
    <vt:lpwstr>2021-08-06T19:58:19.2843334Z</vt:lpwstr>
  </property>
  <property fmtid="{D5CDD505-2E9C-101B-9397-08002B2CF9AE}" pid="6" name="MSIP_Label_878f443b-b434-4a74-8e06-267f84c31196_Name">
    <vt:lpwstr>Public</vt:lpwstr>
  </property>
  <property fmtid="{D5CDD505-2E9C-101B-9397-08002B2CF9AE}" pid="7" name="MSIP_Label_878f443b-b434-4a74-8e06-267f84c31196_Application">
    <vt:lpwstr>Microsoft Azure Information Protection</vt:lpwstr>
  </property>
  <property fmtid="{D5CDD505-2E9C-101B-9397-08002B2CF9AE}" pid="8" name="MSIP_Label_878f443b-b434-4a74-8e06-267f84c31196_ActionId">
    <vt:lpwstr>609afe4a-a4b7-46f0-b01a-99e2f59a5ec5</vt:lpwstr>
  </property>
  <property fmtid="{D5CDD505-2E9C-101B-9397-08002B2CF9AE}" pid="9" name="MSIP_Label_878f443b-b434-4a74-8e06-267f84c31196_Extended_MSFT_Method">
    <vt:lpwstr>Manual</vt:lpwstr>
  </property>
  <property fmtid="{D5CDD505-2E9C-101B-9397-08002B2CF9AE}" pid="10" name="Sensitivity">
    <vt:lpwstr>Public</vt:lpwstr>
  </property>
</Properties>
</file>